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15" yWindow="1800" windowWidth="12390" windowHeight="9315" activeTab="2"/>
  </bookViews>
  <sheets>
    <sheet name="Разделы" sheetId="4" r:id="rId1"/>
    <sheet name="Целевые" sheetId="2" state="hidden" r:id="rId2"/>
    <sheet name="Ведомственная" sheetId="1" r:id="rId3"/>
    <sheet name="МЦП" sheetId="6" state="hidden" r:id="rId4"/>
    <sheet name="ВЦП" sheetId="5" state="hidden" r:id="rId5"/>
    <sheet name="стройки" sheetId="7" state="hidden" r:id="rId6"/>
  </sheets>
  <definedNames>
    <definedName name="_xlnm.Print_Titles" localSheetId="2">Ведомственная!$6:$8</definedName>
    <definedName name="_xlnm.Print_Area" localSheetId="2">Ведомственная!$B$1:$I$807</definedName>
    <definedName name="_xlnm.Print_Area" localSheetId="4">ВЦП!$A$1:$F$16</definedName>
    <definedName name="_xlnm.Print_Area" localSheetId="3">МЦП!$B$1:$F$148</definedName>
    <definedName name="_xlnm.Print_Area" localSheetId="0">Разделы!$A$1:$F$60</definedName>
    <definedName name="_xlnm.Print_Area" localSheetId="5">стройки!$A$1:$G$35</definedName>
    <definedName name="_xlnm.Print_Area" localSheetId="1">Целевые!$B$1:$H$747</definedName>
  </definedNames>
  <calcPr calcId="125725" refMode="R1C1"/>
</workbook>
</file>

<file path=xl/calcChain.xml><?xml version="1.0" encoding="utf-8"?>
<calcChain xmlns="http://schemas.openxmlformats.org/spreadsheetml/2006/main">
  <c r="I799" i="1"/>
  <c r="I802"/>
  <c r="I787"/>
  <c r="I789"/>
  <c r="I795"/>
  <c r="I796"/>
  <c r="I655"/>
  <c r="I657"/>
  <c r="I658"/>
  <c r="I659"/>
  <c r="I661"/>
  <c r="I662"/>
  <c r="I669"/>
  <c r="I681"/>
  <c r="I682"/>
  <c r="I689"/>
  <c r="I691"/>
  <c r="I692"/>
  <c r="I694"/>
  <c r="I695"/>
  <c r="I697"/>
  <c r="I698"/>
  <c r="I700"/>
  <c r="I701"/>
  <c r="I703"/>
  <c r="I704"/>
  <c r="I705"/>
  <c r="I706"/>
  <c r="I708"/>
  <c r="I709"/>
  <c r="I710"/>
  <c r="I711"/>
  <c r="I715"/>
  <c r="I716"/>
  <c r="I725"/>
  <c r="I745"/>
  <c r="I751"/>
  <c r="I752"/>
  <c r="I783"/>
  <c r="I327"/>
  <c r="I328"/>
  <c r="I329"/>
  <c r="I330"/>
  <c r="I335"/>
  <c r="I342"/>
  <c r="I346"/>
  <c r="I359"/>
  <c r="I360"/>
  <c r="I362"/>
  <c r="I367"/>
  <c r="I369"/>
  <c r="I374"/>
  <c r="I379"/>
  <c r="I386"/>
  <c r="I387"/>
  <c r="I390"/>
  <c r="I392"/>
  <c r="I398"/>
  <c r="I399"/>
  <c r="I400"/>
  <c r="I403"/>
  <c r="I408"/>
  <c r="I411"/>
  <c r="I412"/>
  <c r="I413"/>
  <c r="I414"/>
  <c r="I422"/>
  <c r="I428"/>
  <c r="I430"/>
  <c r="I433"/>
  <c r="I436"/>
  <c r="I437"/>
  <c r="I438"/>
  <c r="I439"/>
  <c r="I440"/>
  <c r="I442"/>
  <c r="I444"/>
  <c r="I446"/>
  <c r="I455"/>
  <c r="I458"/>
  <c r="I469"/>
  <c r="I470"/>
  <c r="I475"/>
  <c r="I476"/>
  <c r="I478"/>
  <c r="I480"/>
  <c r="I482"/>
  <c r="I489"/>
  <c r="I492"/>
  <c r="I496"/>
  <c r="I499"/>
  <c r="I502"/>
  <c r="I504"/>
  <c r="I505"/>
  <c r="I512"/>
  <c r="I532"/>
  <c r="I536"/>
  <c r="I538"/>
  <c r="I539"/>
  <c r="I540"/>
  <c r="I541"/>
  <c r="I542"/>
  <c r="I543"/>
  <c r="I545"/>
  <c r="I546"/>
  <c r="I559"/>
  <c r="I564"/>
  <c r="I566"/>
  <c r="I568"/>
  <c r="I569"/>
  <c r="I571"/>
  <c r="I572"/>
  <c r="I573"/>
  <c r="I574"/>
  <c r="I581"/>
  <c r="I582"/>
  <c r="I583"/>
  <c r="I585"/>
  <c r="I586"/>
  <c r="I588"/>
  <c r="I590"/>
  <c r="I591"/>
  <c r="I592"/>
  <c r="I593"/>
  <c r="I595"/>
  <c r="I596"/>
  <c r="I599"/>
  <c r="I602"/>
  <c r="I603"/>
  <c r="I605"/>
  <c r="I606"/>
  <c r="I625"/>
  <c r="I626"/>
  <c r="I638"/>
  <c r="I642"/>
  <c r="I643"/>
  <c r="I110"/>
  <c r="I113"/>
  <c r="I114"/>
  <c r="I116"/>
  <c r="I124"/>
  <c r="I125"/>
  <c r="I132"/>
  <c r="I142"/>
  <c r="I145"/>
  <c r="I153"/>
  <c r="I154"/>
  <c r="I159"/>
  <c r="I161"/>
  <c r="I163"/>
  <c r="I167"/>
  <c r="I171"/>
  <c r="I174"/>
  <c r="I177"/>
  <c r="I178"/>
  <c r="I179"/>
  <c r="I182"/>
  <c r="I184"/>
  <c r="I186"/>
  <c r="I194"/>
  <c r="I195"/>
  <c r="I198"/>
  <c r="I199"/>
  <c r="I200"/>
  <c r="I203"/>
  <c r="I204"/>
  <c r="I207"/>
  <c r="I208"/>
  <c r="I209"/>
  <c r="I211"/>
  <c r="I212"/>
  <c r="I213"/>
  <c r="I219"/>
  <c r="I223"/>
  <c r="I224"/>
  <c r="I225"/>
  <c r="I226"/>
  <c r="I227"/>
  <c r="I228"/>
  <c r="I233"/>
  <c r="I236"/>
  <c r="I238"/>
  <c r="I247"/>
  <c r="I251"/>
  <c r="I254"/>
  <c r="I255"/>
  <c r="I256"/>
  <c r="I261"/>
  <c r="I263"/>
  <c r="I268"/>
  <c r="I269"/>
  <c r="I271"/>
  <c r="I272"/>
  <c r="I273"/>
  <c r="I275"/>
  <c r="I276"/>
  <c r="I277"/>
  <c r="I280"/>
  <c r="I291"/>
  <c r="I292"/>
  <c r="I294"/>
  <c r="I299"/>
  <c r="I304"/>
  <c r="I305"/>
  <c r="I308"/>
  <c r="I318"/>
  <c r="I93"/>
  <c r="I98"/>
  <c r="I99"/>
  <c r="I100"/>
  <c r="I102"/>
  <c r="I109"/>
  <c r="I51"/>
  <c r="I54"/>
  <c r="I66"/>
  <c r="I69"/>
  <c r="I72"/>
  <c r="I73"/>
  <c r="I75"/>
  <c r="I79"/>
  <c r="I80"/>
  <c r="I85"/>
  <c r="I87"/>
  <c r="I34"/>
  <c r="I15"/>
  <c r="I17"/>
  <c r="I22"/>
  <c r="I28"/>
  <c r="I12"/>
  <c r="H264"/>
  <c r="H490"/>
  <c r="H380"/>
  <c r="M666"/>
  <c r="K111"/>
  <c r="L111"/>
  <c r="M111"/>
  <c r="N111"/>
  <c r="O111"/>
  <c r="P111"/>
  <c r="K112"/>
  <c r="L112"/>
  <c r="M112"/>
  <c r="N112"/>
  <c r="O112"/>
  <c r="P112"/>
  <c r="G89"/>
  <c r="I89" s="1"/>
  <c r="I130"/>
  <c r="G684"/>
  <c r="I684" s="1"/>
  <c r="G394"/>
  <c r="I394" s="1"/>
  <c r="G722"/>
  <c r="I722" s="1"/>
  <c r="G201"/>
  <c r="I201" s="1"/>
  <c r="G417"/>
  <c r="I417" s="1"/>
  <c r="G776"/>
  <c r="I776" s="1"/>
  <c r="G385"/>
  <c r="I385" s="1"/>
  <c r="G623"/>
  <c r="I623" s="1"/>
  <c r="G640"/>
  <c r="I640" s="1"/>
  <c r="I611"/>
  <c r="I610"/>
  <c r="G312"/>
  <c r="I312" s="1"/>
  <c r="G32"/>
  <c r="I32" s="1"/>
  <c r="G26"/>
  <c r="I26" s="1"/>
  <c r="G487"/>
  <c r="I487" s="1"/>
  <c r="G486"/>
  <c r="I486" s="1"/>
  <c r="G779"/>
  <c r="I779" s="1"/>
  <c r="G777"/>
  <c r="I777" s="1"/>
  <c r="G37"/>
  <c r="I37" s="1"/>
  <c r="G33"/>
  <c r="I33" s="1"/>
  <c r="G766"/>
  <c r="I766" s="1"/>
  <c r="G765"/>
  <c r="I765" s="1"/>
  <c r="G770"/>
  <c r="I770" s="1"/>
  <c r="G371"/>
  <c r="I371" s="1"/>
  <c r="G768"/>
  <c r="I768" s="1"/>
  <c r="G350"/>
  <c r="I350" s="1"/>
  <c r="G801"/>
  <c r="I801" s="1"/>
  <c r="G65"/>
  <c r="I65" s="1"/>
  <c r="G68"/>
  <c r="I68" s="1"/>
  <c r="G347"/>
  <c r="I347" s="1"/>
  <c r="G244"/>
  <c r="I244" s="1"/>
  <c r="G14"/>
  <c r="I14" s="1"/>
  <c r="G19"/>
  <c r="I19" s="1"/>
  <c r="G43"/>
  <c r="I43" s="1"/>
  <c r="G761"/>
  <c r="I761" s="1"/>
  <c r="G624"/>
  <c r="I624" s="1"/>
  <c r="G622"/>
  <c r="I622" s="1"/>
  <c r="G556"/>
  <c r="I556" s="1"/>
  <c r="G555"/>
  <c r="I555" s="1"/>
  <c r="I553"/>
  <c r="I551"/>
  <c r="G521"/>
  <c r="I521" s="1"/>
  <c r="I519"/>
  <c r="G508"/>
  <c r="I508" s="1"/>
  <c r="G788"/>
  <c r="I788" s="1"/>
  <c r="G426"/>
  <c r="I426" s="1"/>
  <c r="G425"/>
  <c r="I425" s="1"/>
  <c r="G424"/>
  <c r="I424" s="1"/>
  <c r="G451"/>
  <c r="I451" s="1"/>
  <c r="G453"/>
  <c r="I453" s="1"/>
  <c r="G315"/>
  <c r="I315" s="1"/>
  <c r="G313"/>
  <c r="I313" s="1"/>
  <c r="G71"/>
  <c r="I71" s="1"/>
  <c r="G351"/>
  <c r="I351" s="1"/>
  <c r="G78"/>
  <c r="I78" s="1"/>
  <c r="G77"/>
  <c r="I77" s="1"/>
  <c r="G248"/>
  <c r="I248" s="1"/>
  <c r="G450"/>
  <c r="I450" s="1"/>
  <c r="G742"/>
  <c r="I742" s="1"/>
  <c r="G748"/>
  <c r="I748" s="1"/>
  <c r="G630"/>
  <c r="I630" s="1"/>
  <c r="G40"/>
  <c r="I40" s="1"/>
  <c r="G39"/>
  <c r="I39" s="1"/>
  <c r="G48"/>
  <c r="I48" s="1"/>
  <c r="G49"/>
  <c r="I49" s="1"/>
  <c r="G629"/>
  <c r="I629" s="1"/>
  <c r="G418"/>
  <c r="I418" s="1"/>
  <c r="G419"/>
  <c r="I419" s="1"/>
  <c r="I675"/>
  <c r="I666"/>
  <c r="G548"/>
  <c r="I548" s="1"/>
  <c r="G510"/>
  <c r="I510" s="1"/>
  <c r="G552"/>
  <c r="I552" s="1"/>
  <c r="G520"/>
  <c r="I520" s="1"/>
  <c r="G754"/>
  <c r="I754" s="1"/>
  <c r="G727"/>
  <c r="I727" s="1"/>
  <c r="G634"/>
  <c r="I634" s="1"/>
  <c r="H803" l="1"/>
  <c r="G196"/>
  <c r="I196" s="1"/>
  <c r="G197"/>
  <c r="I197" s="1"/>
  <c r="G509"/>
  <c r="I509" s="1"/>
  <c r="G250" i="2"/>
  <c r="G249" s="1"/>
  <c r="G245"/>
  <c r="F58"/>
  <c r="F59"/>
  <c r="F65"/>
  <c r="F75"/>
  <c r="F77"/>
  <c r="F78"/>
  <c r="F82"/>
  <c r="F81" s="1"/>
  <c r="F87"/>
  <c r="F86" s="1"/>
  <c r="F92"/>
  <c r="F91" s="1"/>
  <c r="F94"/>
  <c r="F93" s="1"/>
  <c r="F98"/>
  <c r="F97" s="1"/>
  <c r="F102"/>
  <c r="F101" s="1"/>
  <c r="F107"/>
  <c r="F108"/>
  <c r="F109"/>
  <c r="F111"/>
  <c r="F118"/>
  <c r="F119"/>
  <c r="F120"/>
  <c r="F121"/>
  <c r="F122"/>
  <c r="F123"/>
  <c r="F131"/>
  <c r="F132"/>
  <c r="F139"/>
  <c r="F149"/>
  <c r="F148" s="1"/>
  <c r="F152"/>
  <c r="F160"/>
  <c r="F161"/>
  <c r="F166"/>
  <c r="F168"/>
  <c r="F170"/>
  <c r="F174"/>
  <c r="F178"/>
  <c r="F181"/>
  <c r="F180" s="1"/>
  <c r="F179" s="1"/>
  <c r="F184"/>
  <c r="F185"/>
  <c r="F186"/>
  <c r="F189"/>
  <c r="F188" s="1"/>
  <c r="F187" s="1"/>
  <c r="F191"/>
  <c r="F190" s="1"/>
  <c r="F193"/>
  <c r="F192" s="1"/>
  <c r="F201"/>
  <c r="F202"/>
  <c r="F203"/>
  <c r="F204"/>
  <c r="F205"/>
  <c r="F206"/>
  <c r="F207"/>
  <c r="F208"/>
  <c r="F210"/>
  <c r="F211"/>
  <c r="F214"/>
  <c r="F215"/>
  <c r="F216"/>
  <c r="F218"/>
  <c r="F217" s="1"/>
  <c r="F224"/>
  <c r="F228"/>
  <c r="F229"/>
  <c r="F230"/>
  <c r="F231"/>
  <c r="F232"/>
  <c r="F233"/>
  <c r="F238"/>
  <c r="F241"/>
  <c r="F240" s="1"/>
  <c r="F243"/>
  <c r="F242" s="1"/>
  <c r="F253"/>
  <c r="F252" s="1"/>
  <c r="F254"/>
  <c r="F257"/>
  <c r="F256" s="1"/>
  <c r="F260"/>
  <c r="F261"/>
  <c r="F267"/>
  <c r="F269"/>
  <c r="F275"/>
  <c r="F280"/>
  <c r="F281"/>
  <c r="F282"/>
  <c r="F284"/>
  <c r="F283" s="1"/>
  <c r="F292"/>
  <c r="F291" s="1"/>
  <c r="F295"/>
  <c r="F296"/>
  <c r="F309"/>
  <c r="F313"/>
  <c r="F314"/>
  <c r="F315"/>
  <c r="F317"/>
  <c r="F318"/>
  <c r="F320"/>
  <c r="F319" s="1"/>
  <c r="F323"/>
  <c r="F322" s="1"/>
  <c r="F325"/>
  <c r="F326"/>
  <c r="F328"/>
  <c r="F329"/>
  <c r="F330"/>
  <c r="F332"/>
  <c r="F333"/>
  <c r="F334"/>
  <c r="F336"/>
  <c r="F337"/>
  <c r="F339"/>
  <c r="F338" s="1"/>
  <c r="F342"/>
  <c r="F343"/>
  <c r="F350"/>
  <c r="F357"/>
  <c r="F358"/>
  <c r="F359"/>
  <c r="F361"/>
  <c r="F362"/>
  <c r="F363"/>
  <c r="F364"/>
  <c r="F371"/>
  <c r="F372"/>
  <c r="F374"/>
  <c r="F377"/>
  <c r="F378"/>
  <c r="F379"/>
  <c r="F380"/>
  <c r="F382"/>
  <c r="F383"/>
  <c r="F386"/>
  <c r="F389"/>
  <c r="F390"/>
  <c r="F392"/>
  <c r="F393"/>
  <c r="F396"/>
  <c r="F397"/>
  <c r="F401"/>
  <c r="F402"/>
  <c r="F413"/>
  <c r="F415"/>
  <c r="F416"/>
  <c r="F417"/>
  <c r="F420"/>
  <c r="F421"/>
  <c r="F425"/>
  <c r="F424" s="1"/>
  <c r="F429"/>
  <c r="F428" s="1"/>
  <c r="F435"/>
  <c r="F434" s="1"/>
  <c r="F437"/>
  <c r="F438"/>
  <c r="F453"/>
  <c r="F455"/>
  <c r="F456"/>
  <c r="F457"/>
  <c r="F459"/>
  <c r="F460"/>
  <c r="F464"/>
  <c r="F463" s="1"/>
  <c r="F467"/>
  <c r="F473"/>
  <c r="F472" s="1"/>
  <c r="F479"/>
  <c r="F480"/>
  <c r="F484"/>
  <c r="F483" s="1"/>
  <c r="F486"/>
  <c r="F487"/>
  <c r="F489"/>
  <c r="F490"/>
  <c r="F492"/>
  <c r="F493"/>
  <c r="F495"/>
  <c r="F496"/>
  <c r="F498"/>
  <c r="F500"/>
  <c r="F503"/>
  <c r="F505"/>
  <c r="F510"/>
  <c r="F509" s="1"/>
  <c r="F518"/>
  <c r="F524"/>
  <c r="F525"/>
  <c r="F528"/>
  <c r="F531"/>
  <c r="F530" s="1"/>
  <c r="F533"/>
  <c r="F532" s="1"/>
  <c r="F535"/>
  <c r="F534" s="1"/>
  <c r="F536"/>
  <c r="F537"/>
  <c r="F539"/>
  <c r="F538" s="1"/>
  <c r="F542"/>
  <c r="F543"/>
  <c r="F546"/>
  <c r="F545" s="1"/>
  <c r="F544" s="1"/>
  <c r="F550"/>
  <c r="F551"/>
  <c r="F552"/>
  <c r="F555"/>
  <c r="F554" s="1"/>
  <c r="F553" s="1"/>
  <c r="F564"/>
  <c r="F563" s="1"/>
  <c r="F567"/>
  <c r="F566" s="1"/>
  <c r="F565" s="1"/>
  <c r="F579"/>
  <c r="F582"/>
  <c r="F581" s="1"/>
  <c r="F587"/>
  <c r="F588"/>
  <c r="F590"/>
  <c r="F589" s="1"/>
  <c r="F598"/>
  <c r="F599"/>
  <c r="F600"/>
  <c r="F601"/>
  <c r="F605"/>
  <c r="F606"/>
  <c r="F609"/>
  <c r="F610"/>
  <c r="F611"/>
  <c r="F612"/>
  <c r="F613"/>
  <c r="F615"/>
  <c r="F617"/>
  <c r="F621"/>
  <c r="F622"/>
  <c r="F623"/>
  <c r="F624"/>
  <c r="F632"/>
  <c r="F631" s="1"/>
  <c r="F634"/>
  <c r="F633" s="1"/>
  <c r="F636"/>
  <c r="F635" s="1"/>
  <c r="F639"/>
  <c r="F640"/>
  <c r="F642"/>
  <c r="F641" s="1"/>
  <c r="F644"/>
  <c r="F643" s="1"/>
  <c r="F647"/>
  <c r="F651"/>
  <c r="F656"/>
  <c r="F655" s="1"/>
  <c r="F663"/>
  <c r="F662" s="1"/>
  <c r="F661" s="1"/>
  <c r="F660" s="1"/>
  <c r="F674"/>
  <c r="F679"/>
  <c r="F688"/>
  <c r="F689"/>
  <c r="F692"/>
  <c r="F693"/>
  <c r="F698"/>
  <c r="F699"/>
  <c r="F701"/>
  <c r="F700" s="1"/>
  <c r="F703"/>
  <c r="F702" s="1"/>
  <c r="F705"/>
  <c r="F704" s="1"/>
  <c r="F709"/>
  <c r="F710"/>
  <c r="F718"/>
  <c r="F719"/>
  <c r="F721"/>
  <c r="F726"/>
  <c r="F725" s="1"/>
  <c r="F728"/>
  <c r="F727" s="1"/>
  <c r="F733"/>
  <c r="F732" s="1"/>
  <c r="F731" s="1"/>
  <c r="F738"/>
  <c r="F737" s="1"/>
  <c r="F736" s="1"/>
  <c r="F735" s="1"/>
  <c r="F734" s="1"/>
  <c r="F742"/>
  <c r="F744"/>
  <c r="G723" i="1"/>
  <c r="G632"/>
  <c r="G614"/>
  <c r="G615"/>
  <c r="G616"/>
  <c r="G617"/>
  <c r="G514"/>
  <c r="G495"/>
  <c r="F654" i="2"/>
  <c r="F653" s="1"/>
  <c r="F652"/>
  <c r="G361" i="1"/>
  <c r="G286"/>
  <c r="G262"/>
  <c r="G242"/>
  <c r="G152" i="2"/>
  <c r="H152"/>
  <c r="G144" i="1"/>
  <c r="F80" i="2"/>
  <c r="F79" s="1"/>
  <c r="G62" i="1"/>
  <c r="I62" s="1"/>
  <c r="G685"/>
  <c r="F440" i="2"/>
  <c r="G286"/>
  <c r="G285" s="1"/>
  <c r="G283" i="1"/>
  <c r="F96" i="2"/>
  <c r="F95" s="1"/>
  <c r="G221" i="1"/>
  <c r="G220"/>
  <c r="G336"/>
  <c r="G337"/>
  <c r="G516"/>
  <c r="F84" i="2"/>
  <c r="F247"/>
  <c r="F344"/>
  <c r="G231" i="1"/>
  <c r="F743" i="2"/>
  <c r="F137"/>
  <c r="G64" i="1"/>
  <c r="G101"/>
  <c r="G120"/>
  <c r="G123"/>
  <c r="G128"/>
  <c r="G160"/>
  <c r="G162"/>
  <c r="G168"/>
  <c r="G169"/>
  <c r="G232"/>
  <c r="G321"/>
  <c r="I321" s="1"/>
  <c r="G170"/>
  <c r="G158"/>
  <c r="F584" i="2"/>
  <c r="F32" i="7"/>
  <c r="G32"/>
  <c r="E32"/>
  <c r="F70" i="6"/>
  <c r="D70"/>
  <c r="H203" i="2"/>
  <c r="H204"/>
  <c r="G204"/>
  <c r="K198" i="1"/>
  <c r="L198"/>
  <c r="M198"/>
  <c r="N198"/>
  <c r="O198"/>
  <c r="P198"/>
  <c r="F55" i="2"/>
  <c r="F62"/>
  <c r="F61" s="1"/>
  <c r="F56"/>
  <c r="F562"/>
  <c r="F561"/>
  <c r="G498" i="1"/>
  <c r="G563"/>
  <c r="G565"/>
  <c r="G600"/>
  <c r="F680" i="2"/>
  <c r="F669"/>
  <c r="F668" s="1"/>
  <c r="G668" i="1"/>
  <c r="F347" i="2"/>
  <c r="F346"/>
  <c r="F297"/>
  <c r="G644"/>
  <c r="G643" s="1"/>
  <c r="H644"/>
  <c r="H643" s="1"/>
  <c r="G429" i="1"/>
  <c r="I429" s="1"/>
  <c r="G718" i="2"/>
  <c r="H718"/>
  <c r="G719"/>
  <c r="H719"/>
  <c r="G358" i="1"/>
  <c r="F675" i="2"/>
  <c r="G587" i="1"/>
  <c r="G215"/>
  <c r="G240"/>
  <c r="G83"/>
  <c r="G82"/>
  <c r="G90" i="2"/>
  <c r="G89"/>
  <c r="G91" i="1"/>
  <c r="G636"/>
  <c r="F604" i="2"/>
  <c r="G618" i="1"/>
  <c r="G619"/>
  <c r="F414" i="2"/>
  <c r="G621" i="1"/>
  <c r="G582" i="2"/>
  <c r="G581" s="1"/>
  <c r="H582"/>
  <c r="H581" s="1"/>
  <c r="G744" i="1"/>
  <c r="I744" s="1"/>
  <c r="H48" i="2"/>
  <c r="H47" s="1"/>
  <c r="G48"/>
  <c r="G47" s="1"/>
  <c r="F48"/>
  <c r="F47" s="1"/>
  <c r="G50" i="1"/>
  <c r="I50" s="1"/>
  <c r="G27"/>
  <c r="F678" i="2" l="1"/>
  <c r="E26" i="7"/>
  <c r="I358" i="1"/>
  <c r="F475" i="2"/>
  <c r="F474" s="1"/>
  <c r="I677" i="1"/>
  <c r="F355" i="2"/>
  <c r="I565" i="1"/>
  <c r="F165" i="2"/>
  <c r="I158" i="1"/>
  <c r="F176" i="2"/>
  <c r="I169" i="1"/>
  <c r="F135" i="2"/>
  <c r="F134" s="1"/>
  <c r="F133" s="1"/>
  <c r="I128" i="1"/>
  <c r="F73" i="2"/>
  <c r="I64" i="1"/>
  <c r="F629" i="2"/>
  <c r="I337" i="1"/>
  <c r="G143"/>
  <c r="I143" s="1"/>
  <c r="I144"/>
  <c r="F268" i="2"/>
  <c r="I262" i="1"/>
  <c r="F407" i="2"/>
  <c r="I616" i="1"/>
  <c r="F529" i="2"/>
  <c r="I723" i="1"/>
  <c r="F427" i="2"/>
  <c r="F426" s="1"/>
  <c r="I636" i="1"/>
  <c r="F245" i="2"/>
  <c r="F244" s="1"/>
  <c r="I240" i="1"/>
  <c r="H245" i="2" s="1"/>
  <c r="F412"/>
  <c r="F411" s="1"/>
  <c r="I621" i="1"/>
  <c r="F90" i="2"/>
  <c r="I83" i="1"/>
  <c r="H90" i="2" s="1"/>
  <c r="F466"/>
  <c r="F465" s="1"/>
  <c r="F462" s="1"/>
  <c r="I668" i="1"/>
  <c r="F387" i="2"/>
  <c r="I600" i="1"/>
  <c r="F237" i="2"/>
  <c r="F235" s="1"/>
  <c r="F234" s="1"/>
  <c r="I232" i="1"/>
  <c r="F167" i="2"/>
  <c r="I160" i="1"/>
  <c r="F110" i="2"/>
  <c r="F106" s="1"/>
  <c r="F105" s="1"/>
  <c r="I101" i="1"/>
  <c r="F236" i="2"/>
  <c r="I231" i="1"/>
  <c r="F290" i="2"/>
  <c r="F289" s="1"/>
  <c r="I516" i="1"/>
  <c r="F226" i="2"/>
  <c r="I221" i="1"/>
  <c r="F250" i="2"/>
  <c r="F249" s="1"/>
  <c r="I242" i="1"/>
  <c r="H250" i="2" s="1"/>
  <c r="H249" s="1"/>
  <c r="F408"/>
  <c r="I617" i="1"/>
  <c r="F423" i="2"/>
  <c r="F422" s="1"/>
  <c r="I632" i="1"/>
  <c r="F169" i="2"/>
  <c r="I162" i="1"/>
  <c r="F127" i="2"/>
  <c r="F126" s="1"/>
  <c r="F125" s="1"/>
  <c r="I120" i="1"/>
  <c r="F225" i="2"/>
  <c r="I220" i="1"/>
  <c r="F720" i="2"/>
  <c r="I361" i="1"/>
  <c r="F288" i="2"/>
  <c r="F287" s="1"/>
  <c r="I514" i="1"/>
  <c r="F405" i="2"/>
  <c r="I614" i="1"/>
  <c r="G25"/>
  <c r="I25" s="1"/>
  <c r="I27"/>
  <c r="H13" i="2" s="1"/>
  <c r="H12" s="1"/>
  <c r="F409"/>
  <c r="I618" i="1"/>
  <c r="F89" i="2"/>
  <c r="F88" s="1"/>
  <c r="I82" i="1"/>
  <c r="F375" i="2"/>
  <c r="I587" i="1"/>
  <c r="F277" i="2"/>
  <c r="I498" i="1"/>
  <c r="F410" i="2"/>
  <c r="I619" i="1"/>
  <c r="F100" i="2"/>
  <c r="F99" s="1"/>
  <c r="I91" i="1"/>
  <c r="F220" i="2"/>
  <c r="F219" s="1"/>
  <c r="I215" i="1"/>
  <c r="F354" i="2"/>
  <c r="I563" i="1"/>
  <c r="F177" i="2"/>
  <c r="I170" i="1"/>
  <c r="F175" i="2"/>
  <c r="I168" i="1"/>
  <c r="F130" i="2"/>
  <c r="F129" s="1"/>
  <c r="F128" s="1"/>
  <c r="I123" i="1"/>
  <c r="F628" i="2"/>
  <c r="I336" i="1"/>
  <c r="F286" i="2"/>
  <c r="F285" s="1"/>
  <c r="I283" i="1"/>
  <c r="H286" i="2" s="1"/>
  <c r="H285" s="1"/>
  <c r="F441"/>
  <c r="F439" s="1"/>
  <c r="I685" i="1"/>
  <c r="F431" i="2"/>
  <c r="F430" s="1"/>
  <c r="I286" i="1"/>
  <c r="F274" i="2"/>
  <c r="F273" s="1"/>
  <c r="I495" i="1"/>
  <c r="F406" i="2"/>
  <c r="I615" i="1"/>
  <c r="F673" i="2"/>
  <c r="F497"/>
  <c r="F491"/>
  <c r="F485"/>
  <c r="F502"/>
  <c r="F488"/>
  <c r="F436"/>
  <c r="F57"/>
  <c r="F370"/>
  <c r="F345"/>
  <c r="F586"/>
  <c r="F478"/>
  <c r="F458"/>
  <c r="F76"/>
  <c r="F54"/>
  <c r="F391"/>
  <c r="F388"/>
  <c r="F385"/>
  <c r="F384" s="1"/>
  <c r="G191" i="1"/>
  <c r="G282"/>
  <c r="F717" i="2"/>
  <c r="F151"/>
  <c r="F150" s="1"/>
  <c r="F741"/>
  <c r="F740" s="1"/>
  <c r="F739" s="1"/>
  <c r="F549"/>
  <c r="F548" s="1"/>
  <c r="F356"/>
  <c r="F331"/>
  <c r="F324"/>
  <c r="F316"/>
  <c r="F213"/>
  <c r="F697"/>
  <c r="F691"/>
  <c r="F690" s="1"/>
  <c r="F687"/>
  <c r="F686" s="1"/>
  <c r="F685" s="1"/>
  <c r="F650"/>
  <c r="F649" s="1"/>
  <c r="F541"/>
  <c r="F540" s="1"/>
  <c r="F527"/>
  <c r="F526" s="1"/>
  <c r="F494"/>
  <c r="F454"/>
  <c r="F395"/>
  <c r="F394" s="1"/>
  <c r="F381"/>
  <c r="F376"/>
  <c r="F360"/>
  <c r="F335"/>
  <c r="F327"/>
  <c r="F312"/>
  <c r="F266"/>
  <c r="F265" s="1"/>
  <c r="F264" s="1"/>
  <c r="F263" s="1"/>
  <c r="F223"/>
  <c r="F222" s="1"/>
  <c r="F183"/>
  <c r="F182" s="1"/>
  <c r="F164"/>
  <c r="F163" s="1"/>
  <c r="F162" s="1"/>
  <c r="F159"/>
  <c r="F117"/>
  <c r="F116" s="1"/>
  <c r="F115" s="1"/>
  <c r="F603"/>
  <c r="F602" s="1"/>
  <c r="F341"/>
  <c r="F294"/>
  <c r="F400"/>
  <c r="F399" s="1"/>
  <c r="F398" s="1"/>
  <c r="F419"/>
  <c r="F279"/>
  <c r="E70" i="6"/>
  <c r="G198" i="2"/>
  <c r="G203"/>
  <c r="G357" i="1"/>
  <c r="I357" s="1"/>
  <c r="G88" i="2"/>
  <c r="F13"/>
  <c r="F12" s="1"/>
  <c r="G13"/>
  <c r="G12" s="1"/>
  <c r="G81" i="1"/>
  <c r="I81" s="1"/>
  <c r="H89" i="2" s="1"/>
  <c r="H88" s="1"/>
  <c r="G687" i="1"/>
  <c r="G247" i="2"/>
  <c r="H247"/>
  <c r="G137"/>
  <c r="H137"/>
  <c r="G138"/>
  <c r="G139"/>
  <c r="H139"/>
  <c r="G58" i="1"/>
  <c r="F69" i="6"/>
  <c r="F71"/>
  <c r="D71"/>
  <c r="E69"/>
  <c r="D69"/>
  <c r="G148" i="1"/>
  <c r="G94" i="2"/>
  <c r="G93" s="1"/>
  <c r="H94"/>
  <c r="H93" s="1"/>
  <c r="G86" i="1"/>
  <c r="I86" s="1"/>
  <c r="E71" i="6"/>
  <c r="F74" i="2"/>
  <c r="G245" i="1"/>
  <c r="I245" s="1"/>
  <c r="G654"/>
  <c r="F64" i="2"/>
  <c r="F63" s="1"/>
  <c r="F60" s="1"/>
  <c r="G721"/>
  <c r="H721"/>
  <c r="G720"/>
  <c r="H720"/>
  <c r="G712"/>
  <c r="G711" s="1"/>
  <c r="G488" i="1"/>
  <c r="G343" i="2"/>
  <c r="H343"/>
  <c r="G296"/>
  <c r="H296"/>
  <c r="G577" i="1"/>
  <c r="G579"/>
  <c r="G576"/>
  <c r="G578"/>
  <c r="G734"/>
  <c r="G732"/>
  <c r="G733"/>
  <c r="G731"/>
  <c r="G738"/>
  <c r="G737"/>
  <c r="G410"/>
  <c r="G254" i="2"/>
  <c r="H254"/>
  <c r="G246" i="1"/>
  <c r="I246" s="1"/>
  <c r="G193"/>
  <c r="E61" i="6"/>
  <c r="F61"/>
  <c r="D61"/>
  <c r="G601" i="2"/>
  <c r="H601"/>
  <c r="E58" i="6"/>
  <c r="G407" i="1"/>
  <c r="G642" i="2"/>
  <c r="G641" s="1"/>
  <c r="H642"/>
  <c r="H641" s="1"/>
  <c r="G427" i="1"/>
  <c r="I427" s="1"/>
  <c r="G416"/>
  <c r="I416" s="1"/>
  <c r="E76" i="6"/>
  <c r="F76"/>
  <c r="E75"/>
  <c r="F75"/>
  <c r="D76"/>
  <c r="D75"/>
  <c r="H210" i="2"/>
  <c r="G210"/>
  <c r="G211"/>
  <c r="H211"/>
  <c r="G192" i="1"/>
  <c r="I192" s="1"/>
  <c r="F523" i="2"/>
  <c r="F522" s="1"/>
  <c r="F521" s="1"/>
  <c r="G202" i="1"/>
  <c r="I202" s="1"/>
  <c r="H209" i="2" s="1"/>
  <c r="G558" i="1"/>
  <c r="G679"/>
  <c r="G672"/>
  <c r="G523"/>
  <c r="G140"/>
  <c r="E60" i="6"/>
  <c r="F60"/>
  <c r="D60"/>
  <c r="G600" i="2"/>
  <c r="H600"/>
  <c r="G220"/>
  <c r="G219" s="1"/>
  <c r="H220"/>
  <c r="H219" s="1"/>
  <c r="E101" i="6"/>
  <c r="G214" i="1"/>
  <c r="E74" i="6"/>
  <c r="F74"/>
  <c r="G209" i="2"/>
  <c r="G208"/>
  <c r="H208"/>
  <c r="G599"/>
  <c r="H599"/>
  <c r="G598"/>
  <c r="H598"/>
  <c r="G652" i="1"/>
  <c r="G653"/>
  <c r="G650"/>
  <c r="G649"/>
  <c r="G647"/>
  <c r="G646"/>
  <c r="G531"/>
  <c r="G529"/>
  <c r="G527"/>
  <c r="G526"/>
  <c r="G534"/>
  <c r="G533"/>
  <c r="G253"/>
  <c r="I253" s="1"/>
  <c r="K246"/>
  <c r="L246"/>
  <c r="M246"/>
  <c r="N246"/>
  <c r="O246"/>
  <c r="P246"/>
  <c r="K247"/>
  <c r="L247"/>
  <c r="M247"/>
  <c r="N247"/>
  <c r="O247"/>
  <c r="P247"/>
  <c r="G250"/>
  <c r="I250" s="1"/>
  <c r="K250"/>
  <c r="L250"/>
  <c r="M250"/>
  <c r="N250"/>
  <c r="O250"/>
  <c r="P250"/>
  <c r="K251"/>
  <c r="L251"/>
  <c r="M251"/>
  <c r="N251"/>
  <c r="O251"/>
  <c r="P251"/>
  <c r="G262" i="2"/>
  <c r="H262"/>
  <c r="H504"/>
  <c r="H506"/>
  <c r="H501"/>
  <c r="H499"/>
  <c r="G707" i="1"/>
  <c r="I707" s="1"/>
  <c r="G702"/>
  <c r="I702" s="1"/>
  <c r="E13" i="7"/>
  <c r="F13"/>
  <c r="G432" i="1"/>
  <c r="G150"/>
  <c r="G485"/>
  <c r="G484"/>
  <c r="G707" i="2"/>
  <c r="G706" s="1"/>
  <c r="G708"/>
  <c r="G709"/>
  <c r="H709"/>
  <c r="G710"/>
  <c r="H710"/>
  <c r="G357"/>
  <c r="H357"/>
  <c r="G358"/>
  <c r="H358"/>
  <c r="G359"/>
  <c r="H359"/>
  <c r="G580" i="1"/>
  <c r="I580" s="1"/>
  <c r="G393" i="2"/>
  <c r="H393"/>
  <c r="G604" i="1"/>
  <c r="I604" s="1"/>
  <c r="G628" i="2"/>
  <c r="H628"/>
  <c r="H248"/>
  <c r="G248"/>
  <c r="H339"/>
  <c r="H338" s="1"/>
  <c r="G339"/>
  <c r="G338" s="1"/>
  <c r="G362"/>
  <c r="H362"/>
  <c r="G441"/>
  <c r="H441"/>
  <c r="G539"/>
  <c r="G538" s="1"/>
  <c r="H539"/>
  <c r="H538" s="1"/>
  <c r="F404" l="1"/>
  <c r="F173"/>
  <c r="F172" s="1"/>
  <c r="F212"/>
  <c r="F716"/>
  <c r="F72"/>
  <c r="F373"/>
  <c r="F53"/>
  <c r="F304"/>
  <c r="I527" i="1"/>
  <c r="F445" i="2"/>
  <c r="I647" i="1"/>
  <c r="F450" i="2"/>
  <c r="I652" i="1"/>
  <c r="F477" i="2"/>
  <c r="F476" s="1"/>
  <c r="F471" s="1"/>
  <c r="I679" i="1"/>
  <c r="F559" i="2"/>
  <c r="I738" i="1"/>
  <c r="F572" i="2"/>
  <c r="I734" i="1"/>
  <c r="F367" i="2"/>
  <c r="I577" i="1"/>
  <c r="F155" i="2"/>
  <c r="F154" s="1"/>
  <c r="I148" i="1"/>
  <c r="F482" i="2"/>
  <c r="F481" s="1"/>
  <c r="I687" i="1"/>
  <c r="F198" i="2"/>
  <c r="I191" i="1"/>
  <c r="H198" i="2" s="1"/>
  <c r="F646"/>
  <c r="F645" s="1"/>
  <c r="I432" i="1"/>
  <c r="F157" i="2"/>
  <c r="I150" i="1"/>
  <c r="F303" i="2"/>
  <c r="F302" s="1"/>
  <c r="I526" i="1"/>
  <c r="F444" i="2"/>
  <c r="I646" i="1"/>
  <c r="F451" i="2"/>
  <c r="I653" i="1"/>
  <c r="D101" i="6"/>
  <c r="I214" i="1"/>
  <c r="F101" i="6" s="1"/>
  <c r="F470" i="2"/>
  <c r="F469" s="1"/>
  <c r="F468" s="1"/>
  <c r="F461" s="1"/>
  <c r="I672" i="1"/>
  <c r="F558" i="2"/>
  <c r="I737" i="1"/>
  <c r="F570" i="2"/>
  <c r="I732" i="1"/>
  <c r="F369" i="2"/>
  <c r="I579" i="1"/>
  <c r="F138" i="2"/>
  <c r="F136" s="1"/>
  <c r="F124" s="1"/>
  <c r="I131" i="1"/>
  <c r="H138" i="2" s="1"/>
  <c r="G281" i="1"/>
  <c r="I281" s="1"/>
  <c r="I282"/>
  <c r="F708" i="2"/>
  <c r="I485" i="1"/>
  <c r="H708" i="2" s="1"/>
  <c r="F311"/>
  <c r="I534" i="1"/>
  <c r="F308" i="2"/>
  <c r="I531" i="1"/>
  <c r="F448" i="2"/>
  <c r="I650" i="1"/>
  <c r="F300" i="2"/>
  <c r="F299" s="1"/>
  <c r="F298" s="1"/>
  <c r="F293" s="1"/>
  <c r="I523" i="1"/>
  <c r="F200" i="2"/>
  <c r="I193" i="1"/>
  <c r="F597" i="2"/>
  <c r="F596" s="1"/>
  <c r="I410" i="1"/>
  <c r="F571" i="2"/>
  <c r="I733" i="1"/>
  <c r="F366" i="2"/>
  <c r="I576" i="1"/>
  <c r="F69" i="2"/>
  <c r="F68" s="1"/>
  <c r="F67" s="1"/>
  <c r="F66" s="1"/>
  <c r="I58" i="1"/>
  <c r="F403" i="2"/>
  <c r="F321"/>
  <c r="F707"/>
  <c r="F706" s="1"/>
  <c r="I484" i="1"/>
  <c r="H707" i="2" s="1"/>
  <c r="H706" s="1"/>
  <c r="F310"/>
  <c r="I533" i="1"/>
  <c r="F306" i="2"/>
  <c r="F305" s="1"/>
  <c r="I529" i="1"/>
  <c r="F447" i="2"/>
  <c r="I649" i="1"/>
  <c r="F147" i="2"/>
  <c r="F146" s="1"/>
  <c r="F145" s="1"/>
  <c r="I140" i="1"/>
  <c r="F349" i="2"/>
  <c r="F348" s="1"/>
  <c r="F340" s="1"/>
  <c r="F278" s="1"/>
  <c r="I558" i="1"/>
  <c r="F569" i="2"/>
  <c r="I731" i="1"/>
  <c r="F368" i="2"/>
  <c r="I578" i="1"/>
  <c r="F712" i="2"/>
  <c r="F711" s="1"/>
  <c r="I488" i="1"/>
  <c r="F56" i="6" s="1"/>
  <c r="F452" i="2"/>
  <c r="F449" s="1"/>
  <c r="I654" i="1"/>
  <c r="F595" i="2"/>
  <c r="F594" s="1"/>
  <c r="I407" i="1"/>
  <c r="F58" i="6" s="1"/>
  <c r="D59"/>
  <c r="F171" i="2"/>
  <c r="F144"/>
  <c r="F443"/>
  <c r="D127" i="6"/>
  <c r="F259" i="2"/>
  <c r="G190" i="1"/>
  <c r="I190" s="1"/>
  <c r="F199" i="2"/>
  <c r="D74" i="6"/>
  <c r="F209" i="2"/>
  <c r="G243" i="1"/>
  <c r="I243" s="1"/>
  <c r="F248" i="2"/>
  <c r="F246" s="1"/>
  <c r="F239" s="1"/>
  <c r="F251"/>
  <c r="G129" i="1"/>
  <c r="I129" s="1"/>
  <c r="G136" i="2"/>
  <c r="H136"/>
  <c r="H246"/>
  <c r="G246"/>
  <c r="E59" i="6"/>
  <c r="E57" s="1"/>
  <c r="E56"/>
  <c r="G518" i="1"/>
  <c r="I518" s="1"/>
  <c r="G550"/>
  <c r="I550" s="1"/>
  <c r="D56" i="6"/>
  <c r="G595" i="2"/>
  <c r="G594" s="1"/>
  <c r="H712"/>
  <c r="H711" s="1"/>
  <c r="H595"/>
  <c r="H594" s="1"/>
  <c r="D58" i="6"/>
  <c r="G409" i="1"/>
  <c r="E33" i="7"/>
  <c r="G483" i="1"/>
  <c r="I483" s="1"/>
  <c r="G356" i="2"/>
  <c r="H356"/>
  <c r="G241" i="1"/>
  <c r="I241" s="1"/>
  <c r="F730" i="2"/>
  <c r="F729" s="1"/>
  <c r="F724" s="1"/>
  <c r="F723" s="1"/>
  <c r="F722" s="1"/>
  <c r="G511" i="1"/>
  <c r="I511" s="1"/>
  <c r="G525"/>
  <c r="I525" s="1"/>
  <c r="G528"/>
  <c r="I528" s="1"/>
  <c r="G537"/>
  <c r="I537" s="1"/>
  <c r="G393"/>
  <c r="I393" s="1"/>
  <c r="F446" i="2" l="1"/>
  <c r="F696"/>
  <c r="F557"/>
  <c r="F556" s="1"/>
  <c r="F568"/>
  <c r="F560" s="1"/>
  <c r="F365"/>
  <c r="F353" s="1"/>
  <c r="F352" s="1"/>
  <c r="F307"/>
  <c r="F301" s="1"/>
  <c r="F593"/>
  <c r="D57" i="6"/>
  <c r="G406" i="1"/>
  <c r="I406" s="1"/>
  <c r="I409"/>
  <c r="F59" i="6" s="1"/>
  <c r="F57" s="1"/>
  <c r="F442" i="2"/>
  <c r="F197"/>
  <c r="F196" s="1"/>
  <c r="H440"/>
  <c r="H439" s="1"/>
  <c r="G440"/>
  <c r="G439" s="1"/>
  <c r="G530" i="1"/>
  <c r="G151" i="2"/>
  <c r="G150" s="1"/>
  <c r="H151"/>
  <c r="H150" s="1"/>
  <c r="G392"/>
  <c r="G391" s="1"/>
  <c r="H392"/>
  <c r="H391" s="1"/>
  <c r="E95" i="6"/>
  <c r="F95"/>
  <c r="D95"/>
  <c r="G151" i="1"/>
  <c r="G301"/>
  <c r="G300"/>
  <c r="G332"/>
  <c r="G331"/>
  <c r="F684" i="2"/>
  <c r="F683" s="1"/>
  <c r="F682"/>
  <c r="F681" s="1"/>
  <c r="G759" i="1"/>
  <c r="G522"/>
  <c r="G389" i="2"/>
  <c r="H389"/>
  <c r="G390"/>
  <c r="H390"/>
  <c r="E97" i="6"/>
  <c r="G601" i="1"/>
  <c r="K571"/>
  <c r="L571"/>
  <c r="M571"/>
  <c r="N571"/>
  <c r="O571"/>
  <c r="P571"/>
  <c r="K572"/>
  <c r="L572"/>
  <c r="M572"/>
  <c r="N572"/>
  <c r="O572"/>
  <c r="P572"/>
  <c r="G719"/>
  <c r="G718"/>
  <c r="G720"/>
  <c r="G705" i="2"/>
  <c r="G704" s="1"/>
  <c r="H705"/>
  <c r="H704" s="1"/>
  <c r="G481" i="1"/>
  <c r="G33" i="7"/>
  <c r="E55" i="6"/>
  <c r="D55"/>
  <c r="E54"/>
  <c r="G626" i="2"/>
  <c r="G520"/>
  <c r="G298" i="1"/>
  <c r="G638" i="2"/>
  <c r="H638"/>
  <c r="G639"/>
  <c r="H639"/>
  <c r="G640"/>
  <c r="H640"/>
  <c r="F638"/>
  <c r="F637" s="1"/>
  <c r="F630" s="1"/>
  <c r="F514" l="1"/>
  <c r="I720" i="1"/>
  <c r="F520" i="2"/>
  <c r="I301" i="1"/>
  <c r="H520" i="2" s="1"/>
  <c r="F519"/>
  <c r="I300" i="1"/>
  <c r="F513" i="2"/>
  <c r="I719" i="1"/>
  <c r="F667" i="2"/>
  <c r="F666" s="1"/>
  <c r="I759" i="1"/>
  <c r="F626" i="2"/>
  <c r="I332" i="1"/>
  <c r="H626" i="2" s="1"/>
  <c r="F517"/>
  <c r="I298" i="1"/>
  <c r="D54" i="6"/>
  <c r="I481" i="1"/>
  <c r="F54" i="6" s="1"/>
  <c r="F512" i="2"/>
  <c r="I718" i="1"/>
  <c r="G517"/>
  <c r="I517" s="1"/>
  <c r="I522"/>
  <c r="F625" i="2"/>
  <c r="I331" i="1"/>
  <c r="F158" i="2"/>
  <c r="F156" s="1"/>
  <c r="F153" s="1"/>
  <c r="I151" i="1"/>
  <c r="G524"/>
  <c r="I524" s="1"/>
  <c r="I530"/>
  <c r="D97" i="6"/>
  <c r="I601" i="1"/>
  <c r="F97" i="6" s="1"/>
  <c r="F511" i="2"/>
  <c r="F508" s="1"/>
  <c r="F677"/>
  <c r="F676" s="1"/>
  <c r="G388"/>
  <c r="H388"/>
  <c r="F55" i="6"/>
  <c r="F33" i="7"/>
  <c r="G423" i="1"/>
  <c r="I423" s="1"/>
  <c r="D124" i="6"/>
  <c r="G637" i="2"/>
  <c r="H637"/>
  <c r="G333" i="1"/>
  <c r="I333" s="1"/>
  <c r="G297"/>
  <c r="F85" i="2"/>
  <c r="F83" s="1"/>
  <c r="F71" s="1"/>
  <c r="F70" s="1"/>
  <c r="D125" i="6"/>
  <c r="G22" i="2"/>
  <c r="G21" s="1"/>
  <c r="H22"/>
  <c r="H21" s="1"/>
  <c r="F22"/>
  <c r="F21" s="1"/>
  <c r="G18" i="1"/>
  <c r="I18" s="1"/>
  <c r="G356"/>
  <c r="I356" s="1"/>
  <c r="G105"/>
  <c r="G46"/>
  <c r="G45"/>
  <c r="I45" s="1"/>
  <c r="G136"/>
  <c r="G87" i="2"/>
  <c r="G86" s="1"/>
  <c r="H87"/>
  <c r="H86" s="1"/>
  <c r="K72" i="1"/>
  <c r="L72"/>
  <c r="M72"/>
  <c r="N72"/>
  <c r="O72"/>
  <c r="P72"/>
  <c r="K73"/>
  <c r="L73"/>
  <c r="M73"/>
  <c r="N73"/>
  <c r="O73"/>
  <c r="P73"/>
  <c r="G74"/>
  <c r="I74" s="1"/>
  <c r="G51" i="2"/>
  <c r="G50" s="1"/>
  <c r="G49" s="1"/>
  <c r="E14" i="4" s="1"/>
  <c r="H51" i="2"/>
  <c r="H50" s="1"/>
  <c r="H49" s="1"/>
  <c r="F14" i="4" s="1"/>
  <c r="F51" i="2"/>
  <c r="F50" s="1"/>
  <c r="F49" s="1"/>
  <c r="D14" i="4" s="1"/>
  <c r="G53" i="1"/>
  <c r="G42"/>
  <c r="I42" s="1"/>
  <c r="G77" i="2"/>
  <c r="H77"/>
  <c r="G78"/>
  <c r="H78"/>
  <c r="G67" i="1"/>
  <c r="I67" s="1"/>
  <c r="G52" l="1"/>
  <c r="I52" s="1"/>
  <c r="I53"/>
  <c r="F143" i="2"/>
  <c r="F142" s="1"/>
  <c r="F141" s="1"/>
  <c r="F140" s="1"/>
  <c r="I136" i="1"/>
  <c r="F114" i="2"/>
  <c r="F113" s="1"/>
  <c r="F112" s="1"/>
  <c r="F104" s="1"/>
  <c r="F103" s="1"/>
  <c r="I105" i="1"/>
  <c r="F516" i="2"/>
  <c r="F515" s="1"/>
  <c r="I297" i="1"/>
  <c r="G355"/>
  <c r="F715" i="2"/>
  <c r="F714" s="1"/>
  <c r="F713" s="1"/>
  <c r="F695" s="1"/>
  <c r="F694" s="1"/>
  <c r="F507"/>
  <c r="D126" i="6"/>
  <c r="F627" i="2"/>
  <c r="G324" i="1"/>
  <c r="I324" s="1"/>
  <c r="G296"/>
  <c r="I296" s="1"/>
  <c r="H76" i="2"/>
  <c r="G76"/>
  <c r="G575"/>
  <c r="G574" s="1"/>
  <c r="G573" s="1"/>
  <c r="G320" i="1"/>
  <c r="G319" l="1"/>
  <c r="I320"/>
  <c r="D118" i="6"/>
  <c r="I355" i="1"/>
  <c r="K37"/>
  <c r="D117" i="6"/>
  <c r="G29" i="7"/>
  <c r="F29"/>
  <c r="E29"/>
  <c r="E25"/>
  <c r="G517" i="2"/>
  <c r="H517"/>
  <c r="G629"/>
  <c r="H629"/>
  <c r="G288" i="1"/>
  <c r="I288" s="1"/>
  <c r="K286"/>
  <c r="G463"/>
  <c r="E73" i="6"/>
  <c r="E72"/>
  <c r="E23" i="7"/>
  <c r="G183" i="1"/>
  <c r="I183" s="1"/>
  <c r="F31" i="7"/>
  <c r="G31"/>
  <c r="E31"/>
  <c r="E19"/>
  <c r="F19"/>
  <c r="G19"/>
  <c r="E20"/>
  <c r="F20"/>
  <c r="G20"/>
  <c r="E21"/>
  <c r="F21"/>
  <c r="G21"/>
  <c r="E22"/>
  <c r="F22"/>
  <c r="G22"/>
  <c r="F23"/>
  <c r="G23"/>
  <c r="F18"/>
  <c r="G18"/>
  <c r="E18"/>
  <c r="F25"/>
  <c r="G25"/>
  <c r="F24"/>
  <c r="G24"/>
  <c r="E24"/>
  <c r="E30"/>
  <c r="F30"/>
  <c r="G30"/>
  <c r="F28"/>
  <c r="G28"/>
  <c r="E28"/>
  <c r="F27"/>
  <c r="G27"/>
  <c r="E27"/>
  <c r="L630" i="1"/>
  <c r="K630"/>
  <c r="K492"/>
  <c r="L492"/>
  <c r="M492"/>
  <c r="N492"/>
  <c r="O492"/>
  <c r="P492"/>
  <c r="K493"/>
  <c r="L493"/>
  <c r="M493"/>
  <c r="N493"/>
  <c r="O493"/>
  <c r="P493"/>
  <c r="K494"/>
  <c r="L494"/>
  <c r="M494"/>
  <c r="N494"/>
  <c r="O494"/>
  <c r="P494"/>
  <c r="K495"/>
  <c r="L495"/>
  <c r="M495"/>
  <c r="N495"/>
  <c r="O495"/>
  <c r="P495"/>
  <c r="K496"/>
  <c r="L496"/>
  <c r="M496"/>
  <c r="N496"/>
  <c r="O496"/>
  <c r="P496"/>
  <c r="K497"/>
  <c r="L497"/>
  <c r="M497"/>
  <c r="N497"/>
  <c r="O497"/>
  <c r="P497"/>
  <c r="K498"/>
  <c r="L498"/>
  <c r="M498"/>
  <c r="N498"/>
  <c r="O498"/>
  <c r="P498"/>
  <c r="K499"/>
  <c r="L499"/>
  <c r="M499"/>
  <c r="N499"/>
  <c r="O499"/>
  <c r="P499"/>
  <c r="K500"/>
  <c r="L500"/>
  <c r="M500"/>
  <c r="N500"/>
  <c r="O500"/>
  <c r="P500"/>
  <c r="K501"/>
  <c r="L501"/>
  <c r="M501"/>
  <c r="N501"/>
  <c r="O501"/>
  <c r="P501"/>
  <c r="K502"/>
  <c r="L502"/>
  <c r="N502"/>
  <c r="O502"/>
  <c r="P502"/>
  <c r="K503"/>
  <c r="L503"/>
  <c r="M503"/>
  <c r="N503"/>
  <c r="O503"/>
  <c r="P503"/>
  <c r="K504"/>
  <c r="L504"/>
  <c r="M504"/>
  <c r="N504"/>
  <c r="O504"/>
  <c r="K505"/>
  <c r="L505"/>
  <c r="N505"/>
  <c r="O505"/>
  <c r="P505"/>
  <c r="K506"/>
  <c r="L506"/>
  <c r="M506"/>
  <c r="N506"/>
  <c r="O506"/>
  <c r="P506"/>
  <c r="K507"/>
  <c r="L507"/>
  <c r="M507"/>
  <c r="N507"/>
  <c r="O507"/>
  <c r="P507"/>
  <c r="K508"/>
  <c r="M508"/>
  <c r="N508"/>
  <c r="O508"/>
  <c r="P508"/>
  <c r="N509"/>
  <c r="O509"/>
  <c r="P509"/>
  <c r="K510"/>
  <c r="L510"/>
  <c r="M510"/>
  <c r="N510"/>
  <c r="O510"/>
  <c r="P510"/>
  <c r="K511"/>
  <c r="L511"/>
  <c r="M511"/>
  <c r="N511"/>
  <c r="O511"/>
  <c r="P511"/>
  <c r="K512"/>
  <c r="L512"/>
  <c r="M512"/>
  <c r="N512"/>
  <c r="O512"/>
  <c r="P512"/>
  <c r="K513"/>
  <c r="L513"/>
  <c r="M513"/>
  <c r="N513"/>
  <c r="O513"/>
  <c r="P513"/>
  <c r="K514"/>
  <c r="L514"/>
  <c r="M514"/>
  <c r="N514"/>
  <c r="O514"/>
  <c r="P514"/>
  <c r="K515"/>
  <c r="L515"/>
  <c r="M515"/>
  <c r="N515"/>
  <c r="O515"/>
  <c r="P515"/>
  <c r="K516"/>
  <c r="L516"/>
  <c r="M516"/>
  <c r="N516"/>
  <c r="O516"/>
  <c r="P516"/>
  <c r="K517"/>
  <c r="L517"/>
  <c r="M517"/>
  <c r="N517"/>
  <c r="O517"/>
  <c r="P517"/>
  <c r="K518"/>
  <c r="L518"/>
  <c r="M518"/>
  <c r="N518"/>
  <c r="O518"/>
  <c r="P518"/>
  <c r="K519"/>
  <c r="L519"/>
  <c r="M519"/>
  <c r="N519"/>
  <c r="K521"/>
  <c r="L521"/>
  <c r="M521"/>
  <c r="N521"/>
  <c r="K522"/>
  <c r="L522"/>
  <c r="M522"/>
  <c r="N522"/>
  <c r="O522"/>
  <c r="P522"/>
  <c r="K523"/>
  <c r="L523"/>
  <c r="M523"/>
  <c r="K524"/>
  <c r="L524"/>
  <c r="M524"/>
  <c r="N524"/>
  <c r="O524"/>
  <c r="P524"/>
  <c r="K525"/>
  <c r="L525"/>
  <c r="M525"/>
  <c r="N525"/>
  <c r="O525"/>
  <c r="P525"/>
  <c r="K526"/>
  <c r="L526"/>
  <c r="M526"/>
  <c r="N526"/>
  <c r="O526"/>
  <c r="P526"/>
  <c r="K527"/>
  <c r="L527"/>
  <c r="M527"/>
  <c r="N527"/>
  <c r="O527"/>
  <c r="P527"/>
  <c r="K528"/>
  <c r="L528"/>
  <c r="M528"/>
  <c r="N528"/>
  <c r="O528"/>
  <c r="P528"/>
  <c r="K529"/>
  <c r="L529"/>
  <c r="M529"/>
  <c r="N529"/>
  <c r="O529"/>
  <c r="P529"/>
  <c r="K530"/>
  <c r="L530"/>
  <c r="M530"/>
  <c r="N530"/>
  <c r="O530"/>
  <c r="P530"/>
  <c r="K531"/>
  <c r="L531"/>
  <c r="M531"/>
  <c r="N531"/>
  <c r="O531"/>
  <c r="P531"/>
  <c r="K532"/>
  <c r="L532"/>
  <c r="M532"/>
  <c r="N532"/>
  <c r="O532"/>
  <c r="P532"/>
  <c r="K533"/>
  <c r="L533"/>
  <c r="M533"/>
  <c r="N533"/>
  <c r="O533"/>
  <c r="P533"/>
  <c r="K534"/>
  <c r="L534"/>
  <c r="M534"/>
  <c r="N534"/>
  <c r="O534"/>
  <c r="P534"/>
  <c r="K535"/>
  <c r="L535"/>
  <c r="M535"/>
  <c r="N535"/>
  <c r="O535"/>
  <c r="P535"/>
  <c r="K536"/>
  <c r="L536"/>
  <c r="M536"/>
  <c r="N536"/>
  <c r="O536"/>
  <c r="P536"/>
  <c r="K537"/>
  <c r="L537"/>
  <c r="M537"/>
  <c r="N537"/>
  <c r="O537"/>
  <c r="P537"/>
  <c r="K538"/>
  <c r="L538"/>
  <c r="M538"/>
  <c r="N538"/>
  <c r="O538"/>
  <c r="P538"/>
  <c r="K539"/>
  <c r="L539"/>
  <c r="M539"/>
  <c r="N539"/>
  <c r="O539"/>
  <c r="P539"/>
  <c r="K540"/>
  <c r="L540"/>
  <c r="M540"/>
  <c r="N540"/>
  <c r="O540"/>
  <c r="P540"/>
  <c r="K541"/>
  <c r="L541"/>
  <c r="M541"/>
  <c r="N541"/>
  <c r="O541"/>
  <c r="P541"/>
  <c r="K542"/>
  <c r="L542"/>
  <c r="M542"/>
  <c r="N542"/>
  <c r="O542"/>
  <c r="P542"/>
  <c r="K543"/>
  <c r="L543"/>
  <c r="M543"/>
  <c r="N543"/>
  <c r="O543"/>
  <c r="P543"/>
  <c r="K544"/>
  <c r="L544"/>
  <c r="M544"/>
  <c r="N544"/>
  <c r="O544"/>
  <c r="P544"/>
  <c r="K545"/>
  <c r="L545"/>
  <c r="M545"/>
  <c r="N545"/>
  <c r="O545"/>
  <c r="P545"/>
  <c r="K546"/>
  <c r="L546"/>
  <c r="M546"/>
  <c r="N546"/>
  <c r="O546"/>
  <c r="P546"/>
  <c r="K547"/>
  <c r="L547"/>
  <c r="M547"/>
  <c r="N547"/>
  <c r="O547"/>
  <c r="P547"/>
  <c r="K548"/>
  <c r="M548"/>
  <c r="N548"/>
  <c r="O548"/>
  <c r="P548"/>
  <c r="K549"/>
  <c r="L549"/>
  <c r="M549"/>
  <c r="N549"/>
  <c r="O549"/>
  <c r="P549"/>
  <c r="K550"/>
  <c r="L550"/>
  <c r="M550"/>
  <c r="N550"/>
  <c r="O550"/>
  <c r="P550"/>
  <c r="K551"/>
  <c r="L551"/>
  <c r="M551"/>
  <c r="N551"/>
  <c r="K553"/>
  <c r="L553"/>
  <c r="M553"/>
  <c r="N553"/>
  <c r="K554"/>
  <c r="L554"/>
  <c r="M554"/>
  <c r="N554"/>
  <c r="O554"/>
  <c r="P554"/>
  <c r="K555"/>
  <c r="L555"/>
  <c r="M555"/>
  <c r="N555"/>
  <c r="K556"/>
  <c r="L556"/>
  <c r="M556"/>
  <c r="N556"/>
  <c r="K557"/>
  <c r="L557"/>
  <c r="M557"/>
  <c r="N557"/>
  <c r="O557"/>
  <c r="P557"/>
  <c r="K558"/>
  <c r="L558"/>
  <c r="M558"/>
  <c r="N558"/>
  <c r="K559"/>
  <c r="L559"/>
  <c r="M559"/>
  <c r="K560"/>
  <c r="L560"/>
  <c r="M560"/>
  <c r="N560"/>
  <c r="O560"/>
  <c r="P560"/>
  <c r="K561"/>
  <c r="L561"/>
  <c r="M561"/>
  <c r="N561"/>
  <c r="O561"/>
  <c r="P561"/>
  <c r="K562"/>
  <c r="L562"/>
  <c r="M562"/>
  <c r="N562"/>
  <c r="O562"/>
  <c r="P562"/>
  <c r="K563"/>
  <c r="L563"/>
  <c r="M563"/>
  <c r="N563"/>
  <c r="O563"/>
  <c r="P563"/>
  <c r="K564"/>
  <c r="L564"/>
  <c r="M564"/>
  <c r="N564"/>
  <c r="O564"/>
  <c r="P564"/>
  <c r="K565"/>
  <c r="L565"/>
  <c r="M565"/>
  <c r="N565"/>
  <c r="O565"/>
  <c r="P565"/>
  <c r="K566"/>
  <c r="L566"/>
  <c r="M566"/>
  <c r="N566"/>
  <c r="O566"/>
  <c r="P566"/>
  <c r="K567"/>
  <c r="L567"/>
  <c r="M567"/>
  <c r="N567"/>
  <c r="O567"/>
  <c r="P567"/>
  <c r="K568"/>
  <c r="L568"/>
  <c r="M568"/>
  <c r="N568"/>
  <c r="O568"/>
  <c r="P568"/>
  <c r="K569"/>
  <c r="L569"/>
  <c r="M569"/>
  <c r="N569"/>
  <c r="O569"/>
  <c r="P569"/>
  <c r="K570"/>
  <c r="L570"/>
  <c r="M570"/>
  <c r="N570"/>
  <c r="O570"/>
  <c r="P570"/>
  <c r="K573"/>
  <c r="L573"/>
  <c r="M573"/>
  <c r="N573"/>
  <c r="O573"/>
  <c r="P573"/>
  <c r="K574"/>
  <c r="L574"/>
  <c r="M574"/>
  <c r="N574"/>
  <c r="O574"/>
  <c r="P574"/>
  <c r="K575"/>
  <c r="L575"/>
  <c r="M575"/>
  <c r="N575"/>
  <c r="O575"/>
  <c r="P575"/>
  <c r="K576"/>
  <c r="L576"/>
  <c r="M576"/>
  <c r="N576"/>
  <c r="O576"/>
  <c r="P576"/>
  <c r="K577"/>
  <c r="L577"/>
  <c r="M577"/>
  <c r="N577"/>
  <c r="O577"/>
  <c r="P577"/>
  <c r="K578"/>
  <c r="L578"/>
  <c r="M578"/>
  <c r="N578"/>
  <c r="O578"/>
  <c r="P578"/>
  <c r="K579"/>
  <c r="L579"/>
  <c r="M579"/>
  <c r="N579"/>
  <c r="O579"/>
  <c r="P579"/>
  <c r="K580"/>
  <c r="L580"/>
  <c r="M580"/>
  <c r="N580"/>
  <c r="O580"/>
  <c r="P580"/>
  <c r="K581"/>
  <c r="L581"/>
  <c r="M581"/>
  <c r="N581"/>
  <c r="O581"/>
  <c r="P581"/>
  <c r="K583"/>
  <c r="L583"/>
  <c r="M583"/>
  <c r="N583"/>
  <c r="O583"/>
  <c r="P583"/>
  <c r="K584"/>
  <c r="L584"/>
  <c r="M584"/>
  <c r="N584"/>
  <c r="O584"/>
  <c r="P584"/>
  <c r="K585"/>
  <c r="L585"/>
  <c r="M585"/>
  <c r="N585"/>
  <c r="O585"/>
  <c r="P585"/>
  <c r="K586"/>
  <c r="L586"/>
  <c r="M586"/>
  <c r="N586"/>
  <c r="O586"/>
  <c r="P586"/>
  <c r="K587"/>
  <c r="L587"/>
  <c r="M587"/>
  <c r="N587"/>
  <c r="O587"/>
  <c r="P587"/>
  <c r="K588"/>
  <c r="L588"/>
  <c r="M588"/>
  <c r="N588"/>
  <c r="O588"/>
  <c r="P588"/>
  <c r="K589"/>
  <c r="L589"/>
  <c r="M589"/>
  <c r="N589"/>
  <c r="O589"/>
  <c r="P589"/>
  <c r="K590"/>
  <c r="L590"/>
  <c r="M590"/>
  <c r="N590"/>
  <c r="O590"/>
  <c r="P590"/>
  <c r="K591"/>
  <c r="L591"/>
  <c r="M591"/>
  <c r="N591"/>
  <c r="O591"/>
  <c r="P591"/>
  <c r="K592"/>
  <c r="L592"/>
  <c r="M592"/>
  <c r="N592"/>
  <c r="O592"/>
  <c r="P592"/>
  <c r="K593"/>
  <c r="L593"/>
  <c r="M593"/>
  <c r="N593"/>
  <c r="O593"/>
  <c r="P593"/>
  <c r="K594"/>
  <c r="L594"/>
  <c r="M594"/>
  <c r="N594"/>
  <c r="O594"/>
  <c r="P594"/>
  <c r="K595"/>
  <c r="L595"/>
  <c r="M595"/>
  <c r="N595"/>
  <c r="O595"/>
  <c r="P595"/>
  <c r="K596"/>
  <c r="L596"/>
  <c r="M596"/>
  <c r="N596"/>
  <c r="O596"/>
  <c r="P596"/>
  <c r="K597"/>
  <c r="L597"/>
  <c r="M597"/>
  <c r="N597"/>
  <c r="O597"/>
  <c r="P597"/>
  <c r="K598"/>
  <c r="L598"/>
  <c r="M598"/>
  <c r="N598"/>
  <c r="O598"/>
  <c r="P598"/>
  <c r="K599"/>
  <c r="L599"/>
  <c r="M599"/>
  <c r="N599"/>
  <c r="O599"/>
  <c r="P599"/>
  <c r="K600"/>
  <c r="L600"/>
  <c r="M600"/>
  <c r="N600"/>
  <c r="O600"/>
  <c r="P600"/>
  <c r="K607"/>
  <c r="L607"/>
  <c r="M607"/>
  <c r="N607"/>
  <c r="O607"/>
  <c r="P607"/>
  <c r="K608"/>
  <c r="L608"/>
  <c r="M608"/>
  <c r="N608"/>
  <c r="O608"/>
  <c r="P608"/>
  <c r="K609"/>
  <c r="L609"/>
  <c r="M609"/>
  <c r="N609"/>
  <c r="O609"/>
  <c r="P609"/>
  <c r="K610"/>
  <c r="L610"/>
  <c r="M610"/>
  <c r="N610"/>
  <c r="O610"/>
  <c r="P610"/>
  <c r="K611"/>
  <c r="L611"/>
  <c r="M611"/>
  <c r="N611"/>
  <c r="O611"/>
  <c r="P611"/>
  <c r="K612"/>
  <c r="L612"/>
  <c r="M612"/>
  <c r="N612"/>
  <c r="O612"/>
  <c r="P612"/>
  <c r="K613"/>
  <c r="L613"/>
  <c r="M613"/>
  <c r="N613"/>
  <c r="O613"/>
  <c r="P613"/>
  <c r="K614"/>
  <c r="L614"/>
  <c r="M614"/>
  <c r="N614"/>
  <c r="O614"/>
  <c r="P614"/>
  <c r="K615"/>
  <c r="L615"/>
  <c r="M615"/>
  <c r="N615"/>
  <c r="O615"/>
  <c r="P615"/>
  <c r="K616"/>
  <c r="L616"/>
  <c r="M616"/>
  <c r="N616"/>
  <c r="O616"/>
  <c r="P616"/>
  <c r="K617"/>
  <c r="L617"/>
  <c r="M617"/>
  <c r="N617"/>
  <c r="O617"/>
  <c r="P617"/>
  <c r="K618"/>
  <c r="L618"/>
  <c r="M618"/>
  <c r="N618"/>
  <c r="O618"/>
  <c r="P618"/>
  <c r="K619"/>
  <c r="L619"/>
  <c r="M619"/>
  <c r="N619"/>
  <c r="O619"/>
  <c r="P619"/>
  <c r="K620"/>
  <c r="L620"/>
  <c r="M620"/>
  <c r="N620"/>
  <c r="O620"/>
  <c r="P620"/>
  <c r="K621"/>
  <c r="L621"/>
  <c r="M621"/>
  <c r="N621"/>
  <c r="O621"/>
  <c r="P621"/>
  <c r="K622"/>
  <c r="L622"/>
  <c r="M622"/>
  <c r="N622"/>
  <c r="O622"/>
  <c r="P622"/>
  <c r="K623"/>
  <c r="L623"/>
  <c r="M623"/>
  <c r="N623"/>
  <c r="O623"/>
  <c r="P623"/>
  <c r="K624"/>
  <c r="L624"/>
  <c r="M624"/>
  <c r="N624"/>
  <c r="O624"/>
  <c r="P624"/>
  <c r="K625"/>
  <c r="L625"/>
  <c r="M625"/>
  <c r="N625"/>
  <c r="O625"/>
  <c r="P625"/>
  <c r="K626"/>
  <c r="L626"/>
  <c r="M626"/>
  <c r="N626"/>
  <c r="O626"/>
  <c r="P626"/>
  <c r="K627"/>
  <c r="L627"/>
  <c r="M627"/>
  <c r="N627"/>
  <c r="O627"/>
  <c r="P627"/>
  <c r="K628"/>
  <c r="L628"/>
  <c r="M628"/>
  <c r="N628"/>
  <c r="O628"/>
  <c r="P628"/>
  <c r="K629"/>
  <c r="L629"/>
  <c r="M629"/>
  <c r="N629"/>
  <c r="O629"/>
  <c r="P629"/>
  <c r="N630"/>
  <c r="O630"/>
  <c r="P630"/>
  <c r="K631"/>
  <c r="L631"/>
  <c r="M631"/>
  <c r="N631"/>
  <c r="O631"/>
  <c r="P631"/>
  <c r="K632"/>
  <c r="L632"/>
  <c r="M632"/>
  <c r="N632"/>
  <c r="O632"/>
  <c r="P632"/>
  <c r="K633"/>
  <c r="L633"/>
  <c r="M633"/>
  <c r="N633"/>
  <c r="O633"/>
  <c r="P633"/>
  <c r="K634"/>
  <c r="L634"/>
  <c r="M634"/>
  <c r="N634"/>
  <c r="O634"/>
  <c r="P634"/>
  <c r="K635"/>
  <c r="L635"/>
  <c r="M635"/>
  <c r="N635"/>
  <c r="O635"/>
  <c r="P635"/>
  <c r="K636"/>
  <c r="L636"/>
  <c r="M636"/>
  <c r="N636"/>
  <c r="O636"/>
  <c r="P636"/>
  <c r="K637"/>
  <c r="L637"/>
  <c r="M637"/>
  <c r="N637"/>
  <c r="O637"/>
  <c r="P637"/>
  <c r="K638"/>
  <c r="L638"/>
  <c r="M638"/>
  <c r="N638"/>
  <c r="O638"/>
  <c r="P638"/>
  <c r="K639"/>
  <c r="L639"/>
  <c r="M639"/>
  <c r="N639"/>
  <c r="O639"/>
  <c r="P639"/>
  <c r="K640"/>
  <c r="L640"/>
  <c r="M640"/>
  <c r="N640"/>
  <c r="O640"/>
  <c r="P640"/>
  <c r="K641"/>
  <c r="L641"/>
  <c r="M641"/>
  <c r="N641"/>
  <c r="O641"/>
  <c r="P641"/>
  <c r="K642"/>
  <c r="L642"/>
  <c r="M642"/>
  <c r="N642"/>
  <c r="O642"/>
  <c r="P642"/>
  <c r="K643"/>
  <c r="L643"/>
  <c r="M643"/>
  <c r="N643"/>
  <c r="O643"/>
  <c r="P643"/>
  <c r="K644"/>
  <c r="L644"/>
  <c r="M644"/>
  <c r="N644"/>
  <c r="O644"/>
  <c r="P644"/>
  <c r="K645"/>
  <c r="L645"/>
  <c r="M645"/>
  <c r="N645"/>
  <c r="O645"/>
  <c r="P645"/>
  <c r="K646"/>
  <c r="L646"/>
  <c r="M646"/>
  <c r="N646"/>
  <c r="O646"/>
  <c r="P646"/>
  <c r="K647"/>
  <c r="L647"/>
  <c r="M647"/>
  <c r="O647"/>
  <c r="P647"/>
  <c r="K648"/>
  <c r="L648"/>
  <c r="M648"/>
  <c r="N648"/>
  <c r="O648"/>
  <c r="P648"/>
  <c r="K649"/>
  <c r="L649"/>
  <c r="M649"/>
  <c r="N649"/>
  <c r="O649"/>
  <c r="P649"/>
  <c r="K650"/>
  <c r="L650"/>
  <c r="M650"/>
  <c r="N650"/>
  <c r="O650"/>
  <c r="P650"/>
  <c r="K651"/>
  <c r="L651"/>
  <c r="M651"/>
  <c r="N651"/>
  <c r="O651"/>
  <c r="P651"/>
  <c r="K652"/>
  <c r="L652"/>
  <c r="M652"/>
  <c r="N652"/>
  <c r="O652"/>
  <c r="P652"/>
  <c r="K653"/>
  <c r="L653"/>
  <c r="M653"/>
  <c r="N653"/>
  <c r="O653"/>
  <c r="P653"/>
  <c r="K654"/>
  <c r="L654"/>
  <c r="M654"/>
  <c r="N654"/>
  <c r="O654"/>
  <c r="P654"/>
  <c r="K655"/>
  <c r="L655"/>
  <c r="M655"/>
  <c r="N655"/>
  <c r="O655"/>
  <c r="P655"/>
  <c r="K656"/>
  <c r="L656"/>
  <c r="M656"/>
  <c r="N656"/>
  <c r="O656"/>
  <c r="P656"/>
  <c r="K657"/>
  <c r="L657"/>
  <c r="M657"/>
  <c r="N657"/>
  <c r="O657"/>
  <c r="P657"/>
  <c r="K658"/>
  <c r="L658"/>
  <c r="M658"/>
  <c r="N658"/>
  <c r="O658"/>
  <c r="P658"/>
  <c r="K659"/>
  <c r="L659"/>
  <c r="M659"/>
  <c r="N659"/>
  <c r="O659"/>
  <c r="P659"/>
  <c r="K660"/>
  <c r="L660"/>
  <c r="M660"/>
  <c r="N660"/>
  <c r="O660"/>
  <c r="P660"/>
  <c r="K661"/>
  <c r="L661"/>
  <c r="M661"/>
  <c r="N661"/>
  <c r="O661"/>
  <c r="P661"/>
  <c r="K662"/>
  <c r="L662"/>
  <c r="M662"/>
  <c r="N662"/>
  <c r="O662"/>
  <c r="P662"/>
  <c r="K663"/>
  <c r="L663"/>
  <c r="M663"/>
  <c r="N663"/>
  <c r="O663"/>
  <c r="P663"/>
  <c r="K664"/>
  <c r="L664"/>
  <c r="M664"/>
  <c r="N664"/>
  <c r="O664"/>
  <c r="P664"/>
  <c r="K665"/>
  <c r="L665"/>
  <c r="M665"/>
  <c r="N665"/>
  <c r="O665"/>
  <c r="P665"/>
  <c r="K666"/>
  <c r="L666"/>
  <c r="N666"/>
  <c r="K667"/>
  <c r="L667"/>
  <c r="M667"/>
  <c r="N667"/>
  <c r="O667"/>
  <c r="P667"/>
  <c r="K668"/>
  <c r="L668"/>
  <c r="M668"/>
  <c r="N668"/>
  <c r="K669"/>
  <c r="L669"/>
  <c r="M669"/>
  <c r="N669"/>
  <c r="O669"/>
  <c r="P669"/>
  <c r="K670"/>
  <c r="L670"/>
  <c r="M670"/>
  <c r="N670"/>
  <c r="O670"/>
  <c r="P670"/>
  <c r="K671"/>
  <c r="L671"/>
  <c r="M671"/>
  <c r="N671"/>
  <c r="O671"/>
  <c r="P671"/>
  <c r="K672"/>
  <c r="L672"/>
  <c r="M672"/>
  <c r="N672"/>
  <c r="K673"/>
  <c r="L673"/>
  <c r="M673"/>
  <c r="N673"/>
  <c r="O673"/>
  <c r="P673"/>
  <c r="K674"/>
  <c r="L674"/>
  <c r="M674"/>
  <c r="N674"/>
  <c r="O674"/>
  <c r="P674"/>
  <c r="K675"/>
  <c r="L675"/>
  <c r="M675"/>
  <c r="N675"/>
  <c r="K676"/>
  <c r="L676"/>
  <c r="M676"/>
  <c r="N676"/>
  <c r="O676"/>
  <c r="P676"/>
  <c r="K677"/>
  <c r="L677"/>
  <c r="M677"/>
  <c r="N677"/>
  <c r="K678"/>
  <c r="L678"/>
  <c r="M678"/>
  <c r="N678"/>
  <c r="O678"/>
  <c r="P678"/>
  <c r="K679"/>
  <c r="L679"/>
  <c r="M679"/>
  <c r="N679"/>
  <c r="K680"/>
  <c r="L680"/>
  <c r="M680"/>
  <c r="N680"/>
  <c r="O680"/>
  <c r="P680"/>
  <c r="K681"/>
  <c r="L681"/>
  <c r="M681"/>
  <c r="N681"/>
  <c r="K682"/>
  <c r="L682"/>
  <c r="M682"/>
  <c r="N682"/>
  <c r="K683"/>
  <c r="L683"/>
  <c r="M683"/>
  <c r="N683"/>
  <c r="O683"/>
  <c r="P683"/>
  <c r="K684"/>
  <c r="L684"/>
  <c r="M684"/>
  <c r="N684"/>
  <c r="O684"/>
  <c r="P684"/>
  <c r="K685"/>
  <c r="L685"/>
  <c r="M685"/>
  <c r="N685"/>
  <c r="O685"/>
  <c r="P685"/>
  <c r="K686"/>
  <c r="L686"/>
  <c r="M686"/>
  <c r="N686"/>
  <c r="O686"/>
  <c r="P686"/>
  <c r="K687"/>
  <c r="L687"/>
  <c r="M687"/>
  <c r="N687"/>
  <c r="O687"/>
  <c r="P687"/>
  <c r="K688"/>
  <c r="L688"/>
  <c r="M688"/>
  <c r="N688"/>
  <c r="O688"/>
  <c r="P688"/>
  <c r="K689"/>
  <c r="L689"/>
  <c r="M689"/>
  <c r="N689"/>
  <c r="O689"/>
  <c r="P689"/>
  <c r="K690"/>
  <c r="L690"/>
  <c r="M690"/>
  <c r="N690"/>
  <c r="O690"/>
  <c r="P690"/>
  <c r="K691"/>
  <c r="L691"/>
  <c r="M691"/>
  <c r="N691"/>
  <c r="O691"/>
  <c r="P691"/>
  <c r="K692"/>
  <c r="L692"/>
  <c r="M692"/>
  <c r="N692"/>
  <c r="O692"/>
  <c r="P692"/>
  <c r="K693"/>
  <c r="L693"/>
  <c r="M693"/>
  <c r="N693"/>
  <c r="O693"/>
  <c r="P693"/>
  <c r="K694"/>
  <c r="L694"/>
  <c r="M694"/>
  <c r="N694"/>
  <c r="O694"/>
  <c r="P694"/>
  <c r="K695"/>
  <c r="L695"/>
  <c r="M695"/>
  <c r="N695"/>
  <c r="O695"/>
  <c r="P695"/>
  <c r="K696"/>
  <c r="L696"/>
  <c r="M696"/>
  <c r="N696"/>
  <c r="O696"/>
  <c r="P696"/>
  <c r="K697"/>
  <c r="L697"/>
  <c r="M697"/>
  <c r="N697"/>
  <c r="O697"/>
  <c r="P697"/>
  <c r="K698"/>
  <c r="L698"/>
  <c r="M698"/>
  <c r="N698"/>
  <c r="O698"/>
  <c r="P698"/>
  <c r="K699"/>
  <c r="L699"/>
  <c r="M699"/>
  <c r="N699"/>
  <c r="O699"/>
  <c r="P699"/>
  <c r="K700"/>
  <c r="L700"/>
  <c r="M700"/>
  <c r="N700"/>
  <c r="O700"/>
  <c r="P700"/>
  <c r="K701"/>
  <c r="L701"/>
  <c r="M701"/>
  <c r="N701"/>
  <c r="O701"/>
  <c r="P701"/>
  <c r="K702"/>
  <c r="L702"/>
  <c r="M702"/>
  <c r="N702"/>
  <c r="O702"/>
  <c r="P702"/>
  <c r="K703"/>
  <c r="L703"/>
  <c r="M703"/>
  <c r="N703"/>
  <c r="O703"/>
  <c r="P703"/>
  <c r="K705"/>
  <c r="L705"/>
  <c r="M705"/>
  <c r="N705"/>
  <c r="O705"/>
  <c r="P705"/>
  <c r="K707"/>
  <c r="L707"/>
  <c r="M707"/>
  <c r="N707"/>
  <c r="O707"/>
  <c r="P707"/>
  <c r="K708"/>
  <c r="L708"/>
  <c r="M708"/>
  <c r="N708"/>
  <c r="O708"/>
  <c r="P708"/>
  <c r="K710"/>
  <c r="L710"/>
  <c r="M710"/>
  <c r="N710"/>
  <c r="O710"/>
  <c r="P710"/>
  <c r="K712"/>
  <c r="L712"/>
  <c r="M712"/>
  <c r="N712"/>
  <c r="O712"/>
  <c r="P712"/>
  <c r="K713"/>
  <c r="L713"/>
  <c r="M713"/>
  <c r="N713"/>
  <c r="O713"/>
  <c r="P713"/>
  <c r="K714"/>
  <c r="L714"/>
  <c r="M714"/>
  <c r="N714"/>
  <c r="O714"/>
  <c r="P714"/>
  <c r="K715"/>
  <c r="L715"/>
  <c r="M715"/>
  <c r="N715"/>
  <c r="O715"/>
  <c r="P715"/>
  <c r="K716"/>
  <c r="L716"/>
  <c r="M716"/>
  <c r="N716"/>
  <c r="O716"/>
  <c r="P716"/>
  <c r="K717"/>
  <c r="L717"/>
  <c r="M717"/>
  <c r="N717"/>
  <c r="O717"/>
  <c r="P717"/>
  <c r="K718"/>
  <c r="L718"/>
  <c r="M718"/>
  <c r="N718"/>
  <c r="O718"/>
  <c r="P718"/>
  <c r="K719"/>
  <c r="L719"/>
  <c r="M719"/>
  <c r="N719"/>
  <c r="O719"/>
  <c r="P719"/>
  <c r="K720"/>
  <c r="L720"/>
  <c r="M720"/>
  <c r="N720"/>
  <c r="O720"/>
  <c r="P720"/>
  <c r="K721"/>
  <c r="L721"/>
  <c r="M721"/>
  <c r="N721"/>
  <c r="O721"/>
  <c r="P721"/>
  <c r="K722"/>
  <c r="L722"/>
  <c r="M722"/>
  <c r="N722"/>
  <c r="O722"/>
  <c r="P722"/>
  <c r="N723"/>
  <c r="O723"/>
  <c r="P723"/>
  <c r="K724"/>
  <c r="L724"/>
  <c r="M724"/>
  <c r="N724"/>
  <c r="O724"/>
  <c r="P724"/>
  <c r="K725"/>
  <c r="M725"/>
  <c r="N725"/>
  <c r="O725"/>
  <c r="P725"/>
  <c r="K726"/>
  <c r="L726"/>
  <c r="M726"/>
  <c r="N726"/>
  <c r="O726"/>
  <c r="P726"/>
  <c r="K727"/>
  <c r="L727"/>
  <c r="M727"/>
  <c r="N727"/>
  <c r="O727"/>
  <c r="P727"/>
  <c r="K728"/>
  <c r="L728"/>
  <c r="M728"/>
  <c r="N728"/>
  <c r="O728"/>
  <c r="P728"/>
  <c r="K729"/>
  <c r="L729"/>
  <c r="M729"/>
  <c r="N729"/>
  <c r="O729"/>
  <c r="P729"/>
  <c r="K730"/>
  <c r="L730"/>
  <c r="M730"/>
  <c r="N730"/>
  <c r="O730"/>
  <c r="P730"/>
  <c r="K731"/>
  <c r="L731"/>
  <c r="M731"/>
  <c r="N731"/>
  <c r="O731"/>
  <c r="P731"/>
  <c r="K732"/>
  <c r="L732"/>
  <c r="M732"/>
  <c r="N732"/>
  <c r="O732"/>
  <c r="P732"/>
  <c r="K733"/>
  <c r="L733"/>
  <c r="M733"/>
  <c r="N733"/>
  <c r="O733"/>
  <c r="P733"/>
  <c r="K734"/>
  <c r="L734"/>
  <c r="M734"/>
  <c r="N734"/>
  <c r="O734"/>
  <c r="P734"/>
  <c r="K735"/>
  <c r="L735"/>
  <c r="M735"/>
  <c r="N735"/>
  <c r="O735"/>
  <c r="P735"/>
  <c r="K736"/>
  <c r="L736"/>
  <c r="M736"/>
  <c r="N736"/>
  <c r="O736"/>
  <c r="P736"/>
  <c r="K737"/>
  <c r="L737"/>
  <c r="M737"/>
  <c r="N737"/>
  <c r="O737"/>
  <c r="P737"/>
  <c r="K738"/>
  <c r="L738"/>
  <c r="M738"/>
  <c r="N738"/>
  <c r="O738"/>
  <c r="P738"/>
  <c r="K739"/>
  <c r="L739"/>
  <c r="M739"/>
  <c r="N739"/>
  <c r="O739"/>
  <c r="P739"/>
  <c r="K740"/>
  <c r="L740"/>
  <c r="M740"/>
  <c r="N740"/>
  <c r="O740"/>
  <c r="P740"/>
  <c r="K741"/>
  <c r="L741"/>
  <c r="M741"/>
  <c r="N741"/>
  <c r="O741"/>
  <c r="P741"/>
  <c r="K742"/>
  <c r="L742"/>
  <c r="M742"/>
  <c r="N742"/>
  <c r="O742"/>
  <c r="P742"/>
  <c r="N743"/>
  <c r="O743"/>
  <c r="P743"/>
  <c r="K746"/>
  <c r="L746"/>
  <c r="M746"/>
  <c r="N746"/>
  <c r="O746"/>
  <c r="P746"/>
  <c r="K747"/>
  <c r="L747"/>
  <c r="M747"/>
  <c r="N747"/>
  <c r="O747"/>
  <c r="P747"/>
  <c r="K748"/>
  <c r="L748"/>
  <c r="M748"/>
  <c r="N748"/>
  <c r="O748"/>
  <c r="P748"/>
  <c r="N749"/>
  <c r="O749"/>
  <c r="P749"/>
  <c r="K750"/>
  <c r="L750"/>
  <c r="M750"/>
  <c r="N750"/>
  <c r="O750"/>
  <c r="P750"/>
  <c r="K751"/>
  <c r="L751"/>
  <c r="M751"/>
  <c r="N751"/>
  <c r="O751"/>
  <c r="P751"/>
  <c r="K752"/>
  <c r="L752"/>
  <c r="M752"/>
  <c r="N752"/>
  <c r="O752"/>
  <c r="P752"/>
  <c r="K753"/>
  <c r="L753"/>
  <c r="M753"/>
  <c r="N753"/>
  <c r="O753"/>
  <c r="P753"/>
  <c r="K754"/>
  <c r="L754"/>
  <c r="M754"/>
  <c r="N754"/>
  <c r="O754"/>
  <c r="P754"/>
  <c r="K755"/>
  <c r="L755"/>
  <c r="M755"/>
  <c r="N755"/>
  <c r="O755"/>
  <c r="P755"/>
  <c r="K756"/>
  <c r="L756"/>
  <c r="M756"/>
  <c r="N756"/>
  <c r="O756"/>
  <c r="P756"/>
  <c r="K757"/>
  <c r="L757"/>
  <c r="M757"/>
  <c r="N757"/>
  <c r="O757"/>
  <c r="P757"/>
  <c r="K758"/>
  <c r="L758"/>
  <c r="M758"/>
  <c r="N758"/>
  <c r="O758"/>
  <c r="P758"/>
  <c r="K759"/>
  <c r="L759"/>
  <c r="M759"/>
  <c r="K760"/>
  <c r="L760"/>
  <c r="M760"/>
  <c r="N760"/>
  <c r="O760"/>
  <c r="P760"/>
  <c r="K761"/>
  <c r="L761"/>
  <c r="M761"/>
  <c r="K762"/>
  <c r="L762"/>
  <c r="M762"/>
  <c r="N762"/>
  <c r="O762"/>
  <c r="P762"/>
  <c r="K763"/>
  <c r="L763"/>
  <c r="M763"/>
  <c r="N763"/>
  <c r="O763"/>
  <c r="P763"/>
  <c r="K764"/>
  <c r="L764"/>
  <c r="M764"/>
  <c r="N764"/>
  <c r="O764"/>
  <c r="P764"/>
  <c r="K765"/>
  <c r="L765"/>
  <c r="M765"/>
  <c r="N765"/>
  <c r="K766"/>
  <c r="L766"/>
  <c r="M766"/>
  <c r="N766"/>
  <c r="K767"/>
  <c r="L767"/>
  <c r="M767"/>
  <c r="N767"/>
  <c r="O767"/>
  <c r="P767"/>
  <c r="K768"/>
  <c r="L768"/>
  <c r="M768"/>
  <c r="N768"/>
  <c r="O768"/>
  <c r="P768"/>
  <c r="K769"/>
  <c r="L769"/>
  <c r="M769"/>
  <c r="N769"/>
  <c r="O769"/>
  <c r="P769"/>
  <c r="K25"/>
  <c r="L25"/>
  <c r="M25"/>
  <c r="N25"/>
  <c r="O25"/>
  <c r="P25"/>
  <c r="K26"/>
  <c r="L26"/>
  <c r="M26"/>
  <c r="N26"/>
  <c r="O26"/>
  <c r="P26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L32"/>
  <c r="N32"/>
  <c r="O32"/>
  <c r="P32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N65"/>
  <c r="O65"/>
  <c r="P65"/>
  <c r="K66"/>
  <c r="L66"/>
  <c r="M66"/>
  <c r="N66"/>
  <c r="O66"/>
  <c r="P66"/>
  <c r="K70"/>
  <c r="L70"/>
  <c r="M70"/>
  <c r="N70"/>
  <c r="O70"/>
  <c r="P70"/>
  <c r="K71"/>
  <c r="L71"/>
  <c r="M71"/>
  <c r="N71"/>
  <c r="O71"/>
  <c r="P71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4"/>
  <c r="L84"/>
  <c r="M84"/>
  <c r="N84"/>
  <c r="O84"/>
  <c r="P84"/>
  <c r="K85"/>
  <c r="L85"/>
  <c r="M85"/>
  <c r="N85"/>
  <c r="O85"/>
  <c r="P85"/>
  <c r="K88"/>
  <c r="L88"/>
  <c r="M88"/>
  <c r="N88"/>
  <c r="O88"/>
  <c r="P88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9"/>
  <c r="L199"/>
  <c r="M199"/>
  <c r="N199"/>
  <c r="O199"/>
  <c r="P199"/>
  <c r="K200"/>
  <c r="L200"/>
  <c r="M200"/>
  <c r="N200"/>
  <c r="O200"/>
  <c r="P200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3"/>
  <c r="L243"/>
  <c r="M243"/>
  <c r="N243"/>
  <c r="O243"/>
  <c r="P243"/>
  <c r="K245"/>
  <c r="L245"/>
  <c r="M245"/>
  <c r="N245"/>
  <c r="O245"/>
  <c r="P245"/>
  <c r="K249"/>
  <c r="L249"/>
  <c r="M249"/>
  <c r="N249"/>
  <c r="O249"/>
  <c r="P249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K269"/>
  <c r="L269"/>
  <c r="M269"/>
  <c r="N269"/>
  <c r="O269"/>
  <c r="K270"/>
  <c r="L270"/>
  <c r="M270"/>
  <c r="N270"/>
  <c r="O270"/>
  <c r="P270"/>
  <c r="K271"/>
  <c r="L271"/>
  <c r="N271"/>
  <c r="O271"/>
  <c r="P271"/>
  <c r="K272"/>
  <c r="L272"/>
  <c r="M272"/>
  <c r="N272"/>
  <c r="O272"/>
  <c r="K273"/>
  <c r="L273"/>
  <c r="M273"/>
  <c r="N273"/>
  <c r="O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4"/>
  <c r="L284"/>
  <c r="M284"/>
  <c r="N284"/>
  <c r="O284"/>
  <c r="P284"/>
  <c r="K285"/>
  <c r="L285"/>
  <c r="M285"/>
  <c r="N285"/>
  <c r="O285"/>
  <c r="P285"/>
  <c r="L286"/>
  <c r="M286"/>
  <c r="N286"/>
  <c r="O286"/>
  <c r="P286"/>
  <c r="K287"/>
  <c r="L287"/>
  <c r="M287"/>
  <c r="N287"/>
  <c r="O287"/>
  <c r="P287"/>
  <c r="L288"/>
  <c r="M288"/>
  <c r="N288"/>
  <c r="O288"/>
  <c r="P288"/>
  <c r="K289"/>
  <c r="L289"/>
  <c r="M289"/>
  <c r="N289"/>
  <c r="O289"/>
  <c r="P289"/>
  <c r="K290"/>
  <c r="L290"/>
  <c r="M290"/>
  <c r="N290"/>
  <c r="O290"/>
  <c r="P290"/>
  <c r="K291"/>
  <c r="L291"/>
  <c r="M291"/>
  <c r="N291"/>
  <c r="O291"/>
  <c r="P291"/>
  <c r="K292"/>
  <c r="L292"/>
  <c r="M292"/>
  <c r="N292"/>
  <c r="O292"/>
  <c r="P292"/>
  <c r="K293"/>
  <c r="L293"/>
  <c r="M293"/>
  <c r="N293"/>
  <c r="O293"/>
  <c r="P293"/>
  <c r="K294"/>
  <c r="L294"/>
  <c r="M294"/>
  <c r="N294"/>
  <c r="O294"/>
  <c r="P294"/>
  <c r="K295"/>
  <c r="L295"/>
  <c r="M295"/>
  <c r="N295"/>
  <c r="O295"/>
  <c r="P295"/>
  <c r="K296"/>
  <c r="L296"/>
  <c r="M296"/>
  <c r="N296"/>
  <c r="O296"/>
  <c r="P296"/>
  <c r="K297"/>
  <c r="L297"/>
  <c r="M297"/>
  <c r="N297"/>
  <c r="O297"/>
  <c r="P297"/>
  <c r="K299"/>
  <c r="L299"/>
  <c r="M299"/>
  <c r="N299"/>
  <c r="O299"/>
  <c r="P299"/>
  <c r="K300"/>
  <c r="L300"/>
  <c r="M300"/>
  <c r="N300"/>
  <c r="O300"/>
  <c r="P300"/>
  <c r="K302"/>
  <c r="L302"/>
  <c r="M302"/>
  <c r="N302"/>
  <c r="O302"/>
  <c r="P302"/>
  <c r="K303"/>
  <c r="L303"/>
  <c r="M303"/>
  <c r="N303"/>
  <c r="O303"/>
  <c r="P303"/>
  <c r="K304"/>
  <c r="L304"/>
  <c r="M304"/>
  <c r="N304"/>
  <c r="O304"/>
  <c r="P304"/>
  <c r="K305"/>
  <c r="L305"/>
  <c r="M305"/>
  <c r="N305"/>
  <c r="O305"/>
  <c r="P305"/>
  <c r="K306"/>
  <c r="L306"/>
  <c r="M306"/>
  <c r="N306"/>
  <c r="O306"/>
  <c r="P306"/>
  <c r="K307"/>
  <c r="L307"/>
  <c r="M307"/>
  <c r="N307"/>
  <c r="O307"/>
  <c r="P307"/>
  <c r="K308"/>
  <c r="L308"/>
  <c r="M308"/>
  <c r="N308"/>
  <c r="O308"/>
  <c r="P308"/>
  <c r="K309"/>
  <c r="L309"/>
  <c r="M309"/>
  <c r="N309"/>
  <c r="O309"/>
  <c r="P309"/>
  <c r="K310"/>
  <c r="L310"/>
  <c r="M310"/>
  <c r="N310"/>
  <c r="O310"/>
  <c r="P310"/>
  <c r="K311"/>
  <c r="L311"/>
  <c r="M311"/>
  <c r="N311"/>
  <c r="O311"/>
  <c r="P311"/>
  <c r="K312"/>
  <c r="L312"/>
  <c r="M312"/>
  <c r="N312"/>
  <c r="O312"/>
  <c r="P312"/>
  <c r="K313"/>
  <c r="L313"/>
  <c r="M313"/>
  <c r="N313"/>
  <c r="O313"/>
  <c r="P313"/>
  <c r="K314"/>
  <c r="L314"/>
  <c r="M314"/>
  <c r="N314"/>
  <c r="O314"/>
  <c r="P314"/>
  <c r="K315"/>
  <c r="L315"/>
  <c r="M315"/>
  <c r="N315"/>
  <c r="O315"/>
  <c r="P315"/>
  <c r="K316"/>
  <c r="L316"/>
  <c r="M316"/>
  <c r="N316"/>
  <c r="O316"/>
  <c r="P316"/>
  <c r="K317"/>
  <c r="L317"/>
  <c r="M317"/>
  <c r="N317"/>
  <c r="O317"/>
  <c r="P317"/>
  <c r="K318"/>
  <c r="L318"/>
  <c r="M318"/>
  <c r="N318"/>
  <c r="O318"/>
  <c r="P318"/>
  <c r="K322"/>
  <c r="L322"/>
  <c r="M322"/>
  <c r="N322"/>
  <c r="O322"/>
  <c r="P322"/>
  <c r="K323"/>
  <c r="L323"/>
  <c r="M323"/>
  <c r="N323"/>
  <c r="O323"/>
  <c r="P323"/>
  <c r="K324"/>
  <c r="L324"/>
  <c r="M324"/>
  <c r="N324"/>
  <c r="O324"/>
  <c r="P324"/>
  <c r="K325"/>
  <c r="L325"/>
  <c r="M325"/>
  <c r="N325"/>
  <c r="O325"/>
  <c r="P325"/>
  <c r="K326"/>
  <c r="L326"/>
  <c r="M326"/>
  <c r="N326"/>
  <c r="O326"/>
  <c r="P326"/>
  <c r="K327"/>
  <c r="L327"/>
  <c r="M327"/>
  <c r="N327"/>
  <c r="O327"/>
  <c r="P327"/>
  <c r="K328"/>
  <c r="L328"/>
  <c r="M328"/>
  <c r="N328"/>
  <c r="O328"/>
  <c r="P328"/>
  <c r="K329"/>
  <c r="L329"/>
  <c r="M329"/>
  <c r="N329"/>
  <c r="O329"/>
  <c r="P329"/>
  <c r="K330"/>
  <c r="L330"/>
  <c r="M330"/>
  <c r="N330"/>
  <c r="O330"/>
  <c r="P330"/>
  <c r="K331"/>
  <c r="L331"/>
  <c r="M331"/>
  <c r="N331"/>
  <c r="O331"/>
  <c r="P331"/>
  <c r="K333"/>
  <c r="L333"/>
  <c r="M333"/>
  <c r="N333"/>
  <c r="O333"/>
  <c r="P333"/>
  <c r="K334"/>
  <c r="L334"/>
  <c r="M334"/>
  <c r="N334"/>
  <c r="O334"/>
  <c r="P334"/>
  <c r="K335"/>
  <c r="L335"/>
  <c r="M335"/>
  <c r="N335"/>
  <c r="O335"/>
  <c r="P335"/>
  <c r="K338"/>
  <c r="L338"/>
  <c r="M338"/>
  <c r="N338"/>
  <c r="O338"/>
  <c r="P338"/>
  <c r="K339"/>
  <c r="L339"/>
  <c r="M339"/>
  <c r="N339"/>
  <c r="O339"/>
  <c r="P339"/>
  <c r="K340"/>
  <c r="L340"/>
  <c r="M340"/>
  <c r="N340"/>
  <c r="O340"/>
  <c r="P340"/>
  <c r="K341"/>
  <c r="L341"/>
  <c r="M341"/>
  <c r="N341"/>
  <c r="O341"/>
  <c r="P341"/>
  <c r="K342"/>
  <c r="L342"/>
  <c r="M342"/>
  <c r="N342"/>
  <c r="O342"/>
  <c r="P342"/>
  <c r="K343"/>
  <c r="L343"/>
  <c r="M343"/>
  <c r="N343"/>
  <c r="O343"/>
  <c r="P343"/>
  <c r="K344"/>
  <c r="L344"/>
  <c r="M344"/>
  <c r="N344"/>
  <c r="O344"/>
  <c r="P344"/>
  <c r="K345"/>
  <c r="L345"/>
  <c r="M345"/>
  <c r="N345"/>
  <c r="O345"/>
  <c r="P345"/>
  <c r="K346"/>
  <c r="L346"/>
  <c r="M346"/>
  <c r="N346"/>
  <c r="O346"/>
  <c r="P346"/>
  <c r="K347"/>
  <c r="L347"/>
  <c r="M347"/>
  <c r="N347"/>
  <c r="O347"/>
  <c r="P347"/>
  <c r="K348"/>
  <c r="L348"/>
  <c r="M348"/>
  <c r="N348"/>
  <c r="O348"/>
  <c r="P348"/>
  <c r="K349"/>
  <c r="L349"/>
  <c r="M349"/>
  <c r="N349"/>
  <c r="O349"/>
  <c r="P349"/>
  <c r="K350"/>
  <c r="L350"/>
  <c r="M350"/>
  <c r="N350"/>
  <c r="O350"/>
  <c r="P350"/>
  <c r="K351"/>
  <c r="L351"/>
  <c r="M351"/>
  <c r="N351"/>
  <c r="O351"/>
  <c r="P351"/>
  <c r="K352"/>
  <c r="L352"/>
  <c r="M352"/>
  <c r="N352"/>
  <c r="O352"/>
  <c r="P352"/>
  <c r="K353"/>
  <c r="L353"/>
  <c r="M353"/>
  <c r="N353"/>
  <c r="O353"/>
  <c r="P353"/>
  <c r="K354"/>
  <c r="L354"/>
  <c r="M354"/>
  <c r="N354"/>
  <c r="O354"/>
  <c r="P354"/>
  <c r="K355"/>
  <c r="L355"/>
  <c r="M355"/>
  <c r="N355"/>
  <c r="O355"/>
  <c r="P355"/>
  <c r="K356"/>
  <c r="L356"/>
  <c r="M356"/>
  <c r="N356"/>
  <c r="O356"/>
  <c r="P356"/>
  <c r="K363"/>
  <c r="L363"/>
  <c r="M363"/>
  <c r="N363"/>
  <c r="O363"/>
  <c r="P363"/>
  <c r="K364"/>
  <c r="L364"/>
  <c r="M364"/>
  <c r="N364"/>
  <c r="O364"/>
  <c r="P364"/>
  <c r="K365"/>
  <c r="L365"/>
  <c r="M365"/>
  <c r="N365"/>
  <c r="O365"/>
  <c r="P365"/>
  <c r="K366"/>
  <c r="L366"/>
  <c r="M366"/>
  <c r="N366"/>
  <c r="O366"/>
  <c r="P366"/>
  <c r="K367"/>
  <c r="M367"/>
  <c r="N367"/>
  <c r="O367"/>
  <c r="P367"/>
  <c r="K368"/>
  <c r="L368"/>
  <c r="M368"/>
  <c r="N368"/>
  <c r="O368"/>
  <c r="P368"/>
  <c r="K369"/>
  <c r="L369"/>
  <c r="M369"/>
  <c r="N369"/>
  <c r="O369"/>
  <c r="P369"/>
  <c r="K370"/>
  <c r="L370"/>
  <c r="M370"/>
  <c r="N370"/>
  <c r="O370"/>
  <c r="P370"/>
  <c r="K371"/>
  <c r="L371"/>
  <c r="M371"/>
  <c r="N371"/>
  <c r="O371"/>
  <c r="P371"/>
  <c r="K372"/>
  <c r="L372"/>
  <c r="M372"/>
  <c r="N372"/>
  <c r="O372"/>
  <c r="P372"/>
  <c r="K373"/>
  <c r="L373"/>
  <c r="M373"/>
  <c r="N373"/>
  <c r="O373"/>
  <c r="P373"/>
  <c r="K374"/>
  <c r="L374"/>
  <c r="M374"/>
  <c r="N374"/>
  <c r="O374"/>
  <c r="P374"/>
  <c r="K375"/>
  <c r="L375"/>
  <c r="M375"/>
  <c r="N375"/>
  <c r="O375"/>
  <c r="P375"/>
  <c r="K376"/>
  <c r="L376"/>
  <c r="M376"/>
  <c r="N376"/>
  <c r="O376"/>
  <c r="P376"/>
  <c r="K377"/>
  <c r="L377"/>
  <c r="M377"/>
  <c r="N377"/>
  <c r="O377"/>
  <c r="P377"/>
  <c r="K378"/>
  <c r="L378"/>
  <c r="M378"/>
  <c r="N378"/>
  <c r="O378"/>
  <c r="P378"/>
  <c r="K379"/>
  <c r="L379"/>
  <c r="M379"/>
  <c r="N379"/>
  <c r="O379"/>
  <c r="P379"/>
  <c r="G230"/>
  <c r="G310" i="2"/>
  <c r="H310"/>
  <c r="G311"/>
  <c r="H311"/>
  <c r="G651" i="1"/>
  <c r="G445" i="2"/>
  <c r="H445"/>
  <c r="G447"/>
  <c r="H447"/>
  <c r="G448"/>
  <c r="H448"/>
  <c r="G450"/>
  <c r="H450"/>
  <c r="G451"/>
  <c r="H451"/>
  <c r="G452"/>
  <c r="H452"/>
  <c r="G453"/>
  <c r="H453"/>
  <c r="G444"/>
  <c r="H444"/>
  <c r="G304"/>
  <c r="H304"/>
  <c r="G306"/>
  <c r="G305" s="1"/>
  <c r="H306"/>
  <c r="H305" s="1"/>
  <c r="G308"/>
  <c r="H308"/>
  <c r="G309"/>
  <c r="H309"/>
  <c r="G303"/>
  <c r="H303"/>
  <c r="G648" i="1"/>
  <c r="I648" s="1"/>
  <c r="G645"/>
  <c r="I645" s="1"/>
  <c r="G656"/>
  <c r="I656" s="1"/>
  <c r="G498" i="2"/>
  <c r="H498"/>
  <c r="G500"/>
  <c r="H500"/>
  <c r="G503"/>
  <c r="H503"/>
  <c r="G505"/>
  <c r="H505"/>
  <c r="G496"/>
  <c r="H496"/>
  <c r="G495"/>
  <c r="H495"/>
  <c r="G493"/>
  <c r="H493"/>
  <c r="G492"/>
  <c r="H492"/>
  <c r="G490"/>
  <c r="H490"/>
  <c r="G489"/>
  <c r="H489"/>
  <c r="G487"/>
  <c r="H487"/>
  <c r="G486"/>
  <c r="H486"/>
  <c r="G699" i="1"/>
  <c r="I699" s="1"/>
  <c r="G696"/>
  <c r="I696" s="1"/>
  <c r="G693"/>
  <c r="I693" s="1"/>
  <c r="G690"/>
  <c r="I690" s="1"/>
  <c r="L178"/>
  <c r="M32"/>
  <c r="M65"/>
  <c r="K32"/>
  <c r="K65"/>
  <c r="F671" i="2" l="1"/>
  <c r="I463" i="1"/>
  <c r="F575" i="2"/>
  <c r="F574" s="1"/>
  <c r="F573" s="1"/>
  <c r="F547" s="1"/>
  <c r="I319" i="1"/>
  <c r="H575" i="2" s="1"/>
  <c r="H574" s="1"/>
  <c r="H573" s="1"/>
  <c r="D146" i="6"/>
  <c r="I651" i="1"/>
  <c r="G229"/>
  <c r="I229" s="1"/>
  <c r="I230"/>
  <c r="H443" i="2"/>
  <c r="G485"/>
  <c r="G491"/>
  <c r="G443"/>
  <c r="K288" i="1"/>
  <c r="F433" i="2"/>
  <c r="F432" s="1"/>
  <c r="F418" s="1"/>
  <c r="F351" s="1"/>
  <c r="H488"/>
  <c r="H485"/>
  <c r="H491"/>
  <c r="G494"/>
  <c r="H502"/>
  <c r="H497"/>
  <c r="G502"/>
  <c r="G497"/>
  <c r="G446"/>
  <c r="G449"/>
  <c r="H449"/>
  <c r="H446"/>
  <c r="G488"/>
  <c r="H494"/>
  <c r="E146" i="6"/>
  <c r="D145"/>
  <c r="E145"/>
  <c r="F145"/>
  <c r="G26" i="7"/>
  <c r="F26"/>
  <c r="F144" i="6"/>
  <c r="F146"/>
  <c r="D144"/>
  <c r="G717" i="2"/>
  <c r="G716" s="1"/>
  <c r="E144" i="6"/>
  <c r="N647" i="1"/>
  <c r="G354"/>
  <c r="I354" s="1"/>
  <c r="H717" i="2"/>
  <c r="H716" s="1"/>
  <c r="H302"/>
  <c r="G302"/>
  <c r="H307"/>
  <c r="G307"/>
  <c r="G644" i="1"/>
  <c r="I644" s="1"/>
  <c r="G627" i="2"/>
  <c r="H627"/>
  <c r="E126" i="6"/>
  <c r="F126"/>
  <c r="L725" i="1"/>
  <c r="G421" i="2"/>
  <c r="L548" i="1"/>
  <c r="L509"/>
  <c r="L734" i="2"/>
  <c r="G542"/>
  <c r="H542"/>
  <c r="G543"/>
  <c r="H543"/>
  <c r="G11"/>
  <c r="G10" s="1"/>
  <c r="H11"/>
  <c r="H10" s="1"/>
  <c r="G17"/>
  <c r="H17"/>
  <c r="G18"/>
  <c r="H18"/>
  <c r="G20"/>
  <c r="G19" s="1"/>
  <c r="H20"/>
  <c r="H19" s="1"/>
  <c r="G25"/>
  <c r="G24" s="1"/>
  <c r="G23" s="1"/>
  <c r="H25"/>
  <c r="H24" s="1"/>
  <c r="H23" s="1"/>
  <c r="G29"/>
  <c r="H29"/>
  <c r="G30"/>
  <c r="H30"/>
  <c r="G31"/>
  <c r="H31"/>
  <c r="G34"/>
  <c r="G33" s="1"/>
  <c r="G32" s="1"/>
  <c r="H34"/>
  <c r="H33" s="1"/>
  <c r="H32" s="1"/>
  <c r="G36"/>
  <c r="H36"/>
  <c r="G37"/>
  <c r="H37"/>
  <c r="G39"/>
  <c r="H39"/>
  <c r="G40"/>
  <c r="H40"/>
  <c r="G42"/>
  <c r="H42"/>
  <c r="G43"/>
  <c r="H43"/>
  <c r="G45"/>
  <c r="H45"/>
  <c r="G46"/>
  <c r="H46"/>
  <c r="G55"/>
  <c r="H55"/>
  <c r="G58"/>
  <c r="H58"/>
  <c r="G59"/>
  <c r="H59"/>
  <c r="G62"/>
  <c r="G61" s="1"/>
  <c r="H62"/>
  <c r="H61" s="1"/>
  <c r="G64"/>
  <c r="H64"/>
  <c r="G65"/>
  <c r="H65"/>
  <c r="G69"/>
  <c r="G68" s="1"/>
  <c r="G67" s="1"/>
  <c r="G66" s="1"/>
  <c r="H69"/>
  <c r="H68" s="1"/>
  <c r="H67" s="1"/>
  <c r="H66" s="1"/>
  <c r="G73"/>
  <c r="H73"/>
  <c r="H74"/>
  <c r="G75"/>
  <c r="H75"/>
  <c r="G80"/>
  <c r="G79" s="1"/>
  <c r="H80"/>
  <c r="H79" s="1"/>
  <c r="G82"/>
  <c r="G81" s="1"/>
  <c r="H82"/>
  <c r="H81" s="1"/>
  <c r="G84"/>
  <c r="H84"/>
  <c r="G85"/>
  <c r="H85"/>
  <c r="G92"/>
  <c r="G91" s="1"/>
  <c r="H92"/>
  <c r="H91" s="1"/>
  <c r="G98"/>
  <c r="G97" s="1"/>
  <c r="H98"/>
  <c r="H97" s="1"/>
  <c r="G100"/>
  <c r="G99" s="1"/>
  <c r="H100"/>
  <c r="H99" s="1"/>
  <c r="G102"/>
  <c r="G101" s="1"/>
  <c r="H102"/>
  <c r="H101" s="1"/>
  <c r="G107"/>
  <c r="H107"/>
  <c r="G108"/>
  <c r="H108"/>
  <c r="G109"/>
  <c r="H109"/>
  <c r="G110"/>
  <c r="H110"/>
  <c r="G111"/>
  <c r="H111"/>
  <c r="G114"/>
  <c r="G113" s="1"/>
  <c r="G112" s="1"/>
  <c r="H114"/>
  <c r="H113" s="1"/>
  <c r="H112" s="1"/>
  <c r="G118"/>
  <c r="H118"/>
  <c r="G119"/>
  <c r="H119"/>
  <c r="G120"/>
  <c r="H120"/>
  <c r="G121"/>
  <c r="H121"/>
  <c r="G122"/>
  <c r="H122"/>
  <c r="G123"/>
  <c r="H123"/>
  <c r="G127"/>
  <c r="G126" s="1"/>
  <c r="G125" s="1"/>
  <c r="H127"/>
  <c r="H126" s="1"/>
  <c r="H125" s="1"/>
  <c r="G130"/>
  <c r="H130"/>
  <c r="G131"/>
  <c r="H131"/>
  <c r="G132"/>
  <c r="H132"/>
  <c r="G135"/>
  <c r="G134" s="1"/>
  <c r="G133" s="1"/>
  <c r="H135"/>
  <c r="H134" s="1"/>
  <c r="H133" s="1"/>
  <c r="G143"/>
  <c r="G142" s="1"/>
  <c r="G141" s="1"/>
  <c r="H143"/>
  <c r="H142" s="1"/>
  <c r="H141" s="1"/>
  <c r="G147"/>
  <c r="G146" s="1"/>
  <c r="G145" s="1"/>
  <c r="H147"/>
  <c r="H146" s="1"/>
  <c r="H145" s="1"/>
  <c r="G149"/>
  <c r="G148" s="1"/>
  <c r="H149"/>
  <c r="H148" s="1"/>
  <c r="G155"/>
  <c r="G154" s="1"/>
  <c r="H155"/>
  <c r="H154" s="1"/>
  <c r="G157"/>
  <c r="H157"/>
  <c r="G158"/>
  <c r="H158"/>
  <c r="G160"/>
  <c r="H160"/>
  <c r="G161"/>
  <c r="H161"/>
  <c r="G165"/>
  <c r="H165"/>
  <c r="G166"/>
  <c r="H166"/>
  <c r="G167"/>
  <c r="H167"/>
  <c r="G168"/>
  <c r="H168"/>
  <c r="G169"/>
  <c r="H169"/>
  <c r="G170"/>
  <c r="H170"/>
  <c r="G174"/>
  <c r="H174"/>
  <c r="G175"/>
  <c r="H175"/>
  <c r="G176"/>
  <c r="H176"/>
  <c r="G177"/>
  <c r="H177"/>
  <c r="G178"/>
  <c r="H178"/>
  <c r="G181"/>
  <c r="G180" s="1"/>
  <c r="G179" s="1"/>
  <c r="H181"/>
  <c r="H180" s="1"/>
  <c r="H179" s="1"/>
  <c r="G184"/>
  <c r="H184"/>
  <c r="G185"/>
  <c r="H185"/>
  <c r="G186"/>
  <c r="H186"/>
  <c r="G189"/>
  <c r="G188" s="1"/>
  <c r="G187" s="1"/>
  <c r="H189"/>
  <c r="H188" s="1"/>
  <c r="H187" s="1"/>
  <c r="G191"/>
  <c r="G190" s="1"/>
  <c r="H191"/>
  <c r="H190" s="1"/>
  <c r="G193"/>
  <c r="G192" s="1"/>
  <c r="H193"/>
  <c r="H192" s="1"/>
  <c r="G199"/>
  <c r="H199"/>
  <c r="G200"/>
  <c r="H200"/>
  <c r="G201"/>
  <c r="H201"/>
  <c r="G202"/>
  <c r="H202"/>
  <c r="G205"/>
  <c r="H205"/>
  <c r="G206"/>
  <c r="H206"/>
  <c r="G207"/>
  <c r="H207"/>
  <c r="G214"/>
  <c r="H214"/>
  <c r="G215"/>
  <c r="H215"/>
  <c r="G216"/>
  <c r="H216"/>
  <c r="G218"/>
  <c r="G217" s="1"/>
  <c r="H218"/>
  <c r="H217" s="1"/>
  <c r="G224"/>
  <c r="H224"/>
  <c r="G225"/>
  <c r="H225"/>
  <c r="G226"/>
  <c r="H226"/>
  <c r="G228"/>
  <c r="H228"/>
  <c r="G229"/>
  <c r="H229"/>
  <c r="G230"/>
  <c r="H230"/>
  <c r="G231"/>
  <c r="H231"/>
  <c r="G232"/>
  <c r="H232"/>
  <c r="G233"/>
  <c r="H233"/>
  <c r="G236"/>
  <c r="H236"/>
  <c r="G237"/>
  <c r="H237"/>
  <c r="H238"/>
  <c r="G241"/>
  <c r="G240" s="1"/>
  <c r="H241"/>
  <c r="H240" s="1"/>
  <c r="G243"/>
  <c r="G242" s="1"/>
  <c r="H243"/>
  <c r="H242" s="1"/>
  <c r="G244"/>
  <c r="H244"/>
  <c r="G251"/>
  <c r="H251"/>
  <c r="G253"/>
  <c r="G252" s="1"/>
  <c r="H253"/>
  <c r="H252" s="1"/>
  <c r="G257"/>
  <c r="G256" s="1"/>
  <c r="H257"/>
  <c r="H256" s="1"/>
  <c r="G260"/>
  <c r="H260"/>
  <c r="G261"/>
  <c r="H261"/>
  <c r="G267"/>
  <c r="H267"/>
  <c r="G268"/>
  <c r="H268"/>
  <c r="G269"/>
  <c r="H269"/>
  <c r="G274"/>
  <c r="H274"/>
  <c r="G275"/>
  <c r="H275"/>
  <c r="G277"/>
  <c r="H277"/>
  <c r="H280"/>
  <c r="G281"/>
  <c r="G282"/>
  <c r="H282"/>
  <c r="G284"/>
  <c r="G283" s="1"/>
  <c r="H284"/>
  <c r="H283" s="1"/>
  <c r="G288"/>
  <c r="G287" s="1"/>
  <c r="H288"/>
  <c r="H287" s="1"/>
  <c r="G290"/>
  <c r="G289" s="1"/>
  <c r="H290"/>
  <c r="H289" s="1"/>
  <c r="G292"/>
  <c r="G291" s="1"/>
  <c r="H292"/>
  <c r="H291" s="1"/>
  <c r="G313"/>
  <c r="H313"/>
  <c r="G314"/>
  <c r="H314"/>
  <c r="G315"/>
  <c r="H315"/>
  <c r="G317"/>
  <c r="H317"/>
  <c r="G318"/>
  <c r="H318"/>
  <c r="G320"/>
  <c r="G319" s="1"/>
  <c r="H320"/>
  <c r="H319" s="1"/>
  <c r="G323"/>
  <c r="G322" s="1"/>
  <c r="G325"/>
  <c r="G326"/>
  <c r="G328"/>
  <c r="G329"/>
  <c r="G330"/>
  <c r="G332"/>
  <c r="H332"/>
  <c r="G333"/>
  <c r="H333"/>
  <c r="G334"/>
  <c r="H334"/>
  <c r="G336"/>
  <c r="G337"/>
  <c r="G354"/>
  <c r="H354"/>
  <c r="G355"/>
  <c r="H355"/>
  <c r="G361"/>
  <c r="H361"/>
  <c r="G363"/>
  <c r="H363"/>
  <c r="G364"/>
  <c r="H364"/>
  <c r="G366"/>
  <c r="H366"/>
  <c r="G367"/>
  <c r="H367"/>
  <c r="G368"/>
  <c r="H368"/>
  <c r="G369"/>
  <c r="H369"/>
  <c r="G371"/>
  <c r="H371"/>
  <c r="G372"/>
  <c r="H372"/>
  <c r="G374"/>
  <c r="H374"/>
  <c r="G375"/>
  <c r="H375"/>
  <c r="G377"/>
  <c r="H377"/>
  <c r="G378"/>
  <c r="H378"/>
  <c r="G379"/>
  <c r="H379"/>
  <c r="G380"/>
  <c r="H380"/>
  <c r="G382"/>
  <c r="H382"/>
  <c r="G383"/>
  <c r="H383"/>
  <c r="G386"/>
  <c r="H386"/>
  <c r="G387"/>
  <c r="H387"/>
  <c r="G396"/>
  <c r="H396"/>
  <c r="G397"/>
  <c r="H397"/>
  <c r="G401"/>
  <c r="H401"/>
  <c r="G402"/>
  <c r="H402"/>
  <c r="G405"/>
  <c r="H405"/>
  <c r="G406"/>
  <c r="H406"/>
  <c r="G407"/>
  <c r="H407"/>
  <c r="G408"/>
  <c r="H408"/>
  <c r="G409"/>
  <c r="H409"/>
  <c r="G410"/>
  <c r="H410"/>
  <c r="G412"/>
  <c r="H412"/>
  <c r="G413"/>
  <c r="H413"/>
  <c r="G414"/>
  <c r="H414"/>
  <c r="G415"/>
  <c r="H415"/>
  <c r="G416"/>
  <c r="H416"/>
  <c r="G417"/>
  <c r="H417"/>
  <c r="G420"/>
  <c r="H420"/>
  <c r="G423"/>
  <c r="G422" s="1"/>
  <c r="H423"/>
  <c r="H422" s="1"/>
  <c r="G425"/>
  <c r="G424" s="1"/>
  <c r="H425"/>
  <c r="H424" s="1"/>
  <c r="G427"/>
  <c r="G426" s="1"/>
  <c r="H427"/>
  <c r="H426" s="1"/>
  <c r="G429"/>
  <c r="G428" s="1"/>
  <c r="H429"/>
  <c r="H428" s="1"/>
  <c r="G431"/>
  <c r="G430" s="1"/>
  <c r="H431"/>
  <c r="H430" s="1"/>
  <c r="G433"/>
  <c r="G432" s="1"/>
  <c r="H433"/>
  <c r="H432" s="1"/>
  <c r="G435"/>
  <c r="G434" s="1"/>
  <c r="H435"/>
  <c r="H434" s="1"/>
  <c r="G437"/>
  <c r="H437"/>
  <c r="G438"/>
  <c r="H438"/>
  <c r="G455"/>
  <c r="H455"/>
  <c r="G456"/>
  <c r="H456"/>
  <c r="G457"/>
  <c r="H457"/>
  <c r="G459"/>
  <c r="H459"/>
  <c r="G460"/>
  <c r="H460"/>
  <c r="G467"/>
  <c r="H467"/>
  <c r="G482"/>
  <c r="G481" s="1"/>
  <c r="H482"/>
  <c r="H481" s="1"/>
  <c r="G484"/>
  <c r="G483" s="1"/>
  <c r="H484"/>
  <c r="H483" s="1"/>
  <c r="G510"/>
  <c r="G509" s="1"/>
  <c r="H510"/>
  <c r="H509" s="1"/>
  <c r="G512"/>
  <c r="H512"/>
  <c r="G513"/>
  <c r="H513"/>
  <c r="G514"/>
  <c r="H514"/>
  <c r="G516"/>
  <c r="H516"/>
  <c r="G518"/>
  <c r="H518"/>
  <c r="G519"/>
  <c r="H519"/>
  <c r="G523"/>
  <c r="H523"/>
  <c r="G524"/>
  <c r="H524"/>
  <c r="G525"/>
  <c r="H525"/>
  <c r="G528"/>
  <c r="H528"/>
  <c r="G531"/>
  <c r="G530" s="1"/>
  <c r="H531"/>
  <c r="H530" s="1"/>
  <c r="G533"/>
  <c r="G532" s="1"/>
  <c r="H533"/>
  <c r="H532" s="1"/>
  <c r="G535"/>
  <c r="G534" s="1"/>
  <c r="H535"/>
  <c r="H534" s="1"/>
  <c r="G536"/>
  <c r="H536"/>
  <c r="G537"/>
  <c r="H537"/>
  <c r="G546"/>
  <c r="G545" s="1"/>
  <c r="G544" s="1"/>
  <c r="H546"/>
  <c r="H545" s="1"/>
  <c r="H544" s="1"/>
  <c r="G550"/>
  <c r="H550"/>
  <c r="G551"/>
  <c r="H551"/>
  <c r="G552"/>
  <c r="H552"/>
  <c r="G555"/>
  <c r="G554" s="1"/>
  <c r="G553" s="1"/>
  <c r="H555"/>
  <c r="H554" s="1"/>
  <c r="H553" s="1"/>
  <c r="G558"/>
  <c r="H558"/>
  <c r="G559"/>
  <c r="H559"/>
  <c r="G561"/>
  <c r="H561"/>
  <c r="G562"/>
  <c r="H562"/>
  <c r="G564"/>
  <c r="G563" s="1"/>
  <c r="H564"/>
  <c r="H563" s="1"/>
  <c r="G567"/>
  <c r="G566" s="1"/>
  <c r="G565" s="1"/>
  <c r="H567"/>
  <c r="H566" s="1"/>
  <c r="H565" s="1"/>
  <c r="G569"/>
  <c r="H569"/>
  <c r="G570"/>
  <c r="H570"/>
  <c r="G571"/>
  <c r="H571"/>
  <c r="G572"/>
  <c r="H572"/>
  <c r="G579"/>
  <c r="H579"/>
  <c r="G584"/>
  <c r="H584"/>
  <c r="G587"/>
  <c r="H587"/>
  <c r="G588"/>
  <c r="H588"/>
  <c r="G590"/>
  <c r="G589" s="1"/>
  <c r="H590"/>
  <c r="H589" s="1"/>
  <c r="G597"/>
  <c r="G596" s="1"/>
  <c r="G593" s="1"/>
  <c r="H597"/>
  <c r="H596" s="1"/>
  <c r="H593" s="1"/>
  <c r="G604"/>
  <c r="H604"/>
  <c r="G605"/>
  <c r="H605"/>
  <c r="G606"/>
  <c r="H606"/>
  <c r="G609"/>
  <c r="H609"/>
  <c r="G610"/>
  <c r="H610"/>
  <c r="G611"/>
  <c r="H611"/>
  <c r="G612"/>
  <c r="H612"/>
  <c r="G613"/>
  <c r="H613"/>
  <c r="G615"/>
  <c r="H615"/>
  <c r="G617"/>
  <c r="H617"/>
  <c r="G621"/>
  <c r="H621"/>
  <c r="G622"/>
  <c r="H622"/>
  <c r="G623"/>
  <c r="H623"/>
  <c r="G624"/>
  <c r="H624"/>
  <c r="G625"/>
  <c r="H625"/>
  <c r="G632"/>
  <c r="G631" s="1"/>
  <c r="H632"/>
  <c r="H631" s="1"/>
  <c r="G634"/>
  <c r="G633" s="1"/>
  <c r="H634"/>
  <c r="H633" s="1"/>
  <c r="G636"/>
  <c r="G635" s="1"/>
  <c r="H636"/>
  <c r="H635" s="1"/>
  <c r="G646"/>
  <c r="H646"/>
  <c r="G647"/>
  <c r="H647"/>
  <c r="G651"/>
  <c r="H651"/>
  <c r="G652"/>
  <c r="H652"/>
  <c r="G654"/>
  <c r="G653" s="1"/>
  <c r="H654"/>
  <c r="H653" s="1"/>
  <c r="G656"/>
  <c r="G655" s="1"/>
  <c r="H656"/>
  <c r="H655" s="1"/>
  <c r="G663"/>
  <c r="G662" s="1"/>
  <c r="G661" s="1"/>
  <c r="G660" s="1"/>
  <c r="H663"/>
  <c r="H662" s="1"/>
  <c r="H661" s="1"/>
  <c r="H660" s="1"/>
  <c r="G671"/>
  <c r="H671"/>
  <c r="G672"/>
  <c r="G674"/>
  <c r="H674"/>
  <c r="G675"/>
  <c r="H675"/>
  <c r="G682"/>
  <c r="G681" s="1"/>
  <c r="H682"/>
  <c r="H681" s="1"/>
  <c r="G684"/>
  <c r="G683" s="1"/>
  <c r="G688"/>
  <c r="H688"/>
  <c r="G689"/>
  <c r="H689"/>
  <c r="G692"/>
  <c r="H692"/>
  <c r="G693"/>
  <c r="H693"/>
  <c r="G698"/>
  <c r="H698"/>
  <c r="G699"/>
  <c r="H699"/>
  <c r="G701"/>
  <c r="G700" s="1"/>
  <c r="H701"/>
  <c r="H700" s="1"/>
  <c r="G703"/>
  <c r="G702" s="1"/>
  <c r="H703"/>
  <c r="H702" s="1"/>
  <c r="G715"/>
  <c r="G714" s="1"/>
  <c r="H715"/>
  <c r="H714" s="1"/>
  <c r="H726"/>
  <c r="H725" s="1"/>
  <c r="G728"/>
  <c r="G727" s="1"/>
  <c r="H728"/>
  <c r="H727" s="1"/>
  <c r="G730"/>
  <c r="G729" s="1"/>
  <c r="H730"/>
  <c r="H729" s="1"/>
  <c r="G733"/>
  <c r="G732" s="1"/>
  <c r="G731" s="1"/>
  <c r="E53" i="4" s="1"/>
  <c r="H733" i="2"/>
  <c r="H732" s="1"/>
  <c r="H731" s="1"/>
  <c r="F53" i="4" s="1"/>
  <c r="G738" i="2"/>
  <c r="G737" s="1"/>
  <c r="G736" s="1"/>
  <c r="G735" s="1"/>
  <c r="G734" s="1"/>
  <c r="H738"/>
  <c r="H737" s="1"/>
  <c r="H736" s="1"/>
  <c r="H735" s="1"/>
  <c r="H734" s="1"/>
  <c r="G742"/>
  <c r="H742"/>
  <c r="G743"/>
  <c r="H743"/>
  <c r="G744"/>
  <c r="H744"/>
  <c r="G713" l="1"/>
  <c r="H713"/>
  <c r="G515"/>
  <c r="G239"/>
  <c r="H144"/>
  <c r="G28"/>
  <c r="G16"/>
  <c r="G15" s="1"/>
  <c r="G14" s="1"/>
  <c r="H515"/>
  <c r="H239"/>
  <c r="G144"/>
  <c r="H28"/>
  <c r="H16"/>
  <c r="H197"/>
  <c r="G197"/>
  <c r="D143" i="6"/>
  <c r="G63" i="2"/>
  <c r="G376"/>
  <c r="G373" s="1"/>
  <c r="G442"/>
  <c r="H442"/>
  <c r="H458"/>
  <c r="H454"/>
  <c r="H436"/>
  <c r="H411"/>
  <c r="H404"/>
  <c r="H400"/>
  <c r="H399" s="1"/>
  <c r="H398" s="1"/>
  <c r="H365"/>
  <c r="H360"/>
  <c r="G458"/>
  <c r="G454"/>
  <c r="G436"/>
  <c r="G419"/>
  <c r="G411"/>
  <c r="G404"/>
  <c r="G400"/>
  <c r="G399" s="1"/>
  <c r="G398" s="1"/>
  <c r="G365"/>
  <c r="G360"/>
  <c r="H376"/>
  <c r="H373" s="1"/>
  <c r="E143" i="6"/>
  <c r="F143"/>
  <c r="H301" i="2"/>
  <c r="G726"/>
  <c r="G725" s="1"/>
  <c r="G724" s="1"/>
  <c r="G723" s="1"/>
  <c r="G722" s="1"/>
  <c r="L367" i="1"/>
  <c r="G280" i="2"/>
  <c r="G279" s="1"/>
  <c r="L508" i="1"/>
  <c r="G238" i="2"/>
  <c r="G235" s="1"/>
  <c r="G234" s="1"/>
  <c r="L233" i="1"/>
  <c r="G301" i="2"/>
  <c r="G335"/>
  <c r="G395"/>
  <c r="G394" s="1"/>
  <c r="G385"/>
  <c r="G384" s="1"/>
  <c r="G273"/>
  <c r="G266"/>
  <c r="G265" s="1"/>
  <c r="G264" s="1"/>
  <c r="G263" s="1"/>
  <c r="H673"/>
  <c r="G129"/>
  <c r="G128" s="1"/>
  <c r="G124" s="1"/>
  <c r="H83"/>
  <c r="H541"/>
  <c r="H540" s="1"/>
  <c r="F37" i="4" s="1"/>
  <c r="G541" i="2"/>
  <c r="G540" s="1"/>
  <c r="E37" i="4" s="1"/>
  <c r="E38"/>
  <c r="F38"/>
  <c r="G697" i="2"/>
  <c r="G696" s="1"/>
  <c r="G691"/>
  <c r="G690" s="1"/>
  <c r="G670"/>
  <c r="G650"/>
  <c r="G649" s="1"/>
  <c r="G603"/>
  <c r="G602" s="1"/>
  <c r="G511"/>
  <c r="G508" s="1"/>
  <c r="G159"/>
  <c r="G57"/>
  <c r="G44"/>
  <c r="G38"/>
  <c r="H395"/>
  <c r="H394" s="1"/>
  <c r="H385"/>
  <c r="H384" s="1"/>
  <c r="H381"/>
  <c r="H370"/>
  <c r="H331"/>
  <c r="G316"/>
  <c r="G312"/>
  <c r="H41"/>
  <c r="H35"/>
  <c r="H741"/>
  <c r="H740" s="1"/>
  <c r="H739" s="1"/>
  <c r="G381"/>
  <c r="G327"/>
  <c r="H156"/>
  <c r="G60"/>
  <c r="G687"/>
  <c r="G686" s="1"/>
  <c r="G685" s="1"/>
  <c r="G645"/>
  <c r="G630" s="1"/>
  <c r="G557"/>
  <c r="G556" s="1"/>
  <c r="H15"/>
  <c r="H14" s="1"/>
  <c r="G586"/>
  <c r="H557"/>
  <c r="H556" s="1"/>
  <c r="H511"/>
  <c r="H508" s="1"/>
  <c r="G673"/>
  <c r="H522"/>
  <c r="H521" s="1"/>
  <c r="G213"/>
  <c r="G212" s="1"/>
  <c r="H183"/>
  <c r="H182" s="1"/>
  <c r="G164"/>
  <c r="G163" s="1"/>
  <c r="G162" s="1"/>
  <c r="G156"/>
  <c r="G117"/>
  <c r="G116" s="1"/>
  <c r="G115" s="1"/>
  <c r="G106"/>
  <c r="G105" s="1"/>
  <c r="G104" s="1"/>
  <c r="G83"/>
  <c r="G41"/>
  <c r="G35"/>
  <c r="G741"/>
  <c r="G740" s="1"/>
  <c r="G739" s="1"/>
  <c r="G549"/>
  <c r="G548" s="1"/>
  <c r="H266"/>
  <c r="H265" s="1"/>
  <c r="H264" s="1"/>
  <c r="H263" s="1"/>
  <c r="G223"/>
  <c r="G222" s="1"/>
  <c r="H164"/>
  <c r="H163" s="1"/>
  <c r="H162" s="1"/>
  <c r="H117"/>
  <c r="H116" s="1"/>
  <c r="H115" s="1"/>
  <c r="H106"/>
  <c r="H105" s="1"/>
  <c r="H104" s="1"/>
  <c r="G568"/>
  <c r="G560" s="1"/>
  <c r="H549"/>
  <c r="H548" s="1"/>
  <c r="H235"/>
  <c r="H234" s="1"/>
  <c r="H223"/>
  <c r="H222" s="1"/>
  <c r="G173"/>
  <c r="G172" s="1"/>
  <c r="H724"/>
  <c r="H723" s="1"/>
  <c r="H722" s="1"/>
  <c r="H697"/>
  <c r="H696" s="1"/>
  <c r="H691"/>
  <c r="H690" s="1"/>
  <c r="H687"/>
  <c r="H686" s="1"/>
  <c r="H685" s="1"/>
  <c r="H650"/>
  <c r="H649" s="1"/>
  <c r="H645"/>
  <c r="H630" s="1"/>
  <c r="H603"/>
  <c r="H602" s="1"/>
  <c r="H586"/>
  <c r="H568"/>
  <c r="H560" s="1"/>
  <c r="G522"/>
  <c r="G521" s="1"/>
  <c r="G370"/>
  <c r="G331"/>
  <c r="G324"/>
  <c r="H316"/>
  <c r="H312"/>
  <c r="H273"/>
  <c r="H213"/>
  <c r="H212" s="1"/>
  <c r="G183"/>
  <c r="G182" s="1"/>
  <c r="H173"/>
  <c r="H172" s="1"/>
  <c r="H159"/>
  <c r="H129"/>
  <c r="H128" s="1"/>
  <c r="H124" s="1"/>
  <c r="H72"/>
  <c r="H63"/>
  <c r="H60" s="1"/>
  <c r="H57"/>
  <c r="H44"/>
  <c r="H38"/>
  <c r="D46" i="6"/>
  <c r="E46"/>
  <c r="F46"/>
  <c r="D47"/>
  <c r="E47"/>
  <c r="F47"/>
  <c r="E91"/>
  <c r="F91"/>
  <c r="D91"/>
  <c r="K383" i="1"/>
  <c r="L383"/>
  <c r="M383"/>
  <c r="N383"/>
  <c r="O383"/>
  <c r="P383"/>
  <c r="E44" i="6"/>
  <c r="F44"/>
  <c r="D44"/>
  <c r="D41"/>
  <c r="E41"/>
  <c r="F41"/>
  <c r="D42"/>
  <c r="E42"/>
  <c r="F42"/>
  <c r="E40"/>
  <c r="F40"/>
  <c r="D40"/>
  <c r="G397" i="1"/>
  <c r="P397"/>
  <c r="O397"/>
  <c r="N397"/>
  <c r="L397"/>
  <c r="D10" i="5"/>
  <c r="E10"/>
  <c r="F10"/>
  <c r="D11"/>
  <c r="E11"/>
  <c r="F11"/>
  <c r="E9"/>
  <c r="F9"/>
  <c r="D9"/>
  <c r="G396" i="1" l="1"/>
  <c r="I396" s="1"/>
  <c r="I397"/>
  <c r="G403" i="2"/>
  <c r="G171"/>
  <c r="G153"/>
  <c r="H171"/>
  <c r="H153"/>
  <c r="H547"/>
  <c r="H103"/>
  <c r="G547"/>
  <c r="G103"/>
  <c r="H403"/>
  <c r="G353"/>
  <c r="G352" s="1"/>
  <c r="H353"/>
  <c r="H352" s="1"/>
  <c r="G695"/>
  <c r="G694" s="1"/>
  <c r="H695"/>
  <c r="H694" s="1"/>
  <c r="G321"/>
  <c r="E45" i="6"/>
  <c r="G27" i="2"/>
  <c r="G26" s="1"/>
  <c r="H27"/>
  <c r="H26" s="1"/>
  <c r="F45" i="6"/>
  <c r="D45"/>
  <c r="M397" i="1"/>
  <c r="K397"/>
  <c r="F8" i="5"/>
  <c r="E8"/>
  <c r="D8"/>
  <c r="G660" i="1"/>
  <c r="I660" s="1"/>
  <c r="G673"/>
  <c r="I673" s="1"/>
  <c r="E124" i="6"/>
  <c r="F124"/>
  <c r="E123"/>
  <c r="F123"/>
  <c r="D123"/>
  <c r="E135"/>
  <c r="F135"/>
  <c r="D135"/>
  <c r="J544" i="2"/>
  <c r="M544" s="1"/>
  <c r="G307" i="1"/>
  <c r="I307" s="1"/>
  <c r="E137" i="6"/>
  <c r="F137"/>
  <c r="D137"/>
  <c r="E134"/>
  <c r="F134"/>
  <c r="D134"/>
  <c r="E136"/>
  <c r="F136"/>
  <c r="D136"/>
  <c r="E125"/>
  <c r="F125"/>
  <c r="E122"/>
  <c r="F122"/>
  <c r="D122"/>
  <c r="E117"/>
  <c r="F117"/>
  <c r="E116"/>
  <c r="F116"/>
  <c r="D116"/>
  <c r="G290" i="1"/>
  <c r="D31" i="6"/>
  <c r="E31"/>
  <c r="F31"/>
  <c r="D32"/>
  <c r="E32"/>
  <c r="F32"/>
  <c r="E30"/>
  <c r="F30"/>
  <c r="D30"/>
  <c r="D140"/>
  <c r="E140"/>
  <c r="F140"/>
  <c r="D141"/>
  <c r="E141"/>
  <c r="F141"/>
  <c r="E139"/>
  <c r="F139"/>
  <c r="D139"/>
  <c r="G181" i="1"/>
  <c r="D120" i="6"/>
  <c r="E120"/>
  <c r="F120"/>
  <c r="D121"/>
  <c r="E121"/>
  <c r="F121"/>
  <c r="E119"/>
  <c r="F119"/>
  <c r="D119"/>
  <c r="D114"/>
  <c r="E114"/>
  <c r="F114"/>
  <c r="D115"/>
  <c r="E115"/>
  <c r="F115"/>
  <c r="E113"/>
  <c r="F113"/>
  <c r="D113"/>
  <c r="G227" i="2"/>
  <c r="G221" s="1"/>
  <c r="G222" i="1"/>
  <c r="H196" i="2"/>
  <c r="D68" i="6"/>
  <c r="E68"/>
  <c r="F68"/>
  <c r="D72"/>
  <c r="F72"/>
  <c r="D73"/>
  <c r="F73"/>
  <c r="E67"/>
  <c r="F67"/>
  <c r="D67"/>
  <c r="D142"/>
  <c r="E142"/>
  <c r="F142"/>
  <c r="D81"/>
  <c r="E81"/>
  <c r="F81"/>
  <c r="D82"/>
  <c r="E82"/>
  <c r="F82"/>
  <c r="E80"/>
  <c r="F80"/>
  <c r="D80"/>
  <c r="D35"/>
  <c r="E35"/>
  <c r="F35"/>
  <c r="D36"/>
  <c r="E36"/>
  <c r="F36"/>
  <c r="D37"/>
  <c r="E37"/>
  <c r="F37"/>
  <c r="D38"/>
  <c r="E38"/>
  <c r="F38"/>
  <c r="E34"/>
  <c r="F34"/>
  <c r="D34"/>
  <c r="D85"/>
  <c r="E85"/>
  <c r="F85"/>
  <c r="D86"/>
  <c r="E86"/>
  <c r="F86"/>
  <c r="D87"/>
  <c r="E87"/>
  <c r="F87"/>
  <c r="D88"/>
  <c r="E88"/>
  <c r="F88"/>
  <c r="D89"/>
  <c r="E89"/>
  <c r="F89"/>
  <c r="E84"/>
  <c r="F84"/>
  <c r="D84"/>
  <c r="E78"/>
  <c r="F78"/>
  <c r="D78"/>
  <c r="E63"/>
  <c r="F63"/>
  <c r="D63"/>
  <c r="D27"/>
  <c r="E27"/>
  <c r="F27"/>
  <c r="D28"/>
  <c r="E28"/>
  <c r="F28"/>
  <c r="E26"/>
  <c r="F26"/>
  <c r="D26"/>
  <c r="E11"/>
  <c r="F11"/>
  <c r="D11"/>
  <c r="D17"/>
  <c r="E17"/>
  <c r="F17"/>
  <c r="G97" i="1"/>
  <c r="I97" s="1"/>
  <c r="G289" l="1"/>
  <c r="I289" s="1"/>
  <c r="I290"/>
  <c r="F227" i="2"/>
  <c r="F221" s="1"/>
  <c r="F195" s="1"/>
  <c r="I222" i="1"/>
  <c r="H227" i="2" s="1"/>
  <c r="H221" s="1"/>
  <c r="G180" i="1"/>
  <c r="I180" s="1"/>
  <c r="I181"/>
  <c r="G140" i="2"/>
  <c r="E66" i="6"/>
  <c r="F66"/>
  <c r="H140" i="2"/>
  <c r="H195"/>
  <c r="D66" i="6"/>
  <c r="G196" i="2"/>
  <c r="G195" s="1"/>
  <c r="D133" i="6"/>
  <c r="F133"/>
  <c r="E133"/>
  <c r="E29"/>
  <c r="F29"/>
  <c r="D29"/>
  <c r="G189" i="1"/>
  <c r="I189" s="1"/>
  <c r="E138" i="6"/>
  <c r="F138"/>
  <c r="D138"/>
  <c r="D79"/>
  <c r="E79"/>
  <c r="F79"/>
  <c r="E83"/>
  <c r="F83"/>
  <c r="D83"/>
  <c r="E33"/>
  <c r="D25"/>
  <c r="D33"/>
  <c r="F33"/>
  <c r="E25"/>
  <c r="F25"/>
  <c r="D20"/>
  <c r="E20"/>
  <c r="F20"/>
  <c r="D21"/>
  <c r="E21"/>
  <c r="F21"/>
  <c r="D22"/>
  <c r="E22"/>
  <c r="F22"/>
  <c r="D23"/>
  <c r="E23"/>
  <c r="F23"/>
  <c r="D24"/>
  <c r="E24"/>
  <c r="F24"/>
  <c r="E19"/>
  <c r="F19"/>
  <c r="D19"/>
  <c r="D14"/>
  <c r="E14"/>
  <c r="F14"/>
  <c r="D15"/>
  <c r="E15"/>
  <c r="F15"/>
  <c r="D16"/>
  <c r="E16"/>
  <c r="F16"/>
  <c r="E13"/>
  <c r="F13"/>
  <c r="D13"/>
  <c r="I664" i="1"/>
  <c r="G589"/>
  <c r="G575"/>
  <c r="I575" s="1"/>
  <c r="G567"/>
  <c r="I567" s="1"/>
  <c r="G570"/>
  <c r="I570" s="1"/>
  <c r="J10" i="2"/>
  <c r="M10" s="1"/>
  <c r="K10"/>
  <c r="N10" s="1"/>
  <c r="G239" i="1"/>
  <c r="I239" s="1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N15"/>
  <c r="O15"/>
  <c r="P15"/>
  <c r="N16"/>
  <c r="O16"/>
  <c r="P16"/>
  <c r="N17"/>
  <c r="O17"/>
  <c r="P17"/>
  <c r="N20"/>
  <c r="O20"/>
  <c r="P20"/>
  <c r="N21"/>
  <c r="O21"/>
  <c r="P21"/>
  <c r="N22"/>
  <c r="O22"/>
  <c r="P22"/>
  <c r="N24"/>
  <c r="O24"/>
  <c r="P24"/>
  <c r="N381"/>
  <c r="O381"/>
  <c r="P381"/>
  <c r="N382"/>
  <c r="O382"/>
  <c r="P382"/>
  <c r="N384"/>
  <c r="O384"/>
  <c r="P384"/>
  <c r="N385"/>
  <c r="O385"/>
  <c r="P385"/>
  <c r="N386"/>
  <c r="O386"/>
  <c r="P386"/>
  <c r="N387"/>
  <c r="O387"/>
  <c r="P387"/>
  <c r="N388"/>
  <c r="O388"/>
  <c r="P388"/>
  <c r="N389"/>
  <c r="O389"/>
  <c r="P389"/>
  <c r="N390"/>
  <c r="O390"/>
  <c r="P390"/>
  <c r="N391"/>
  <c r="O391"/>
  <c r="P391"/>
  <c r="N392"/>
  <c r="O392"/>
  <c r="P392"/>
  <c r="N395"/>
  <c r="O395"/>
  <c r="P395"/>
  <c r="N396"/>
  <c r="O396"/>
  <c r="P396"/>
  <c r="N398"/>
  <c r="O398"/>
  <c r="P398"/>
  <c r="N399"/>
  <c r="O399"/>
  <c r="P399"/>
  <c r="N400"/>
  <c r="O400"/>
  <c r="P400"/>
  <c r="N401"/>
  <c r="O401"/>
  <c r="P401"/>
  <c r="N402"/>
  <c r="O402"/>
  <c r="P402"/>
  <c r="N403"/>
  <c r="O403"/>
  <c r="P403"/>
  <c r="N404"/>
  <c r="O404"/>
  <c r="P404"/>
  <c r="N405"/>
  <c r="O405"/>
  <c r="P405"/>
  <c r="N406"/>
  <c r="O406"/>
  <c r="P406"/>
  <c r="N410"/>
  <c r="O410"/>
  <c r="P410"/>
  <c r="N415"/>
  <c r="O415"/>
  <c r="P415"/>
  <c r="N416"/>
  <c r="O416"/>
  <c r="P416"/>
  <c r="N417"/>
  <c r="O417"/>
  <c r="P417"/>
  <c r="N418"/>
  <c r="O418"/>
  <c r="P418"/>
  <c r="N419"/>
  <c r="O419"/>
  <c r="P419"/>
  <c r="N420"/>
  <c r="O420"/>
  <c r="P420"/>
  <c r="N421"/>
  <c r="O421"/>
  <c r="P421"/>
  <c r="N422"/>
  <c r="O422"/>
  <c r="P422"/>
  <c r="N431"/>
  <c r="O431"/>
  <c r="P431"/>
  <c r="N432"/>
  <c r="O432"/>
  <c r="P432"/>
  <c r="N433"/>
  <c r="O433"/>
  <c r="P433"/>
  <c r="N434"/>
  <c r="O434"/>
  <c r="P434"/>
  <c r="N435"/>
  <c r="O435"/>
  <c r="P435"/>
  <c r="N436"/>
  <c r="O436"/>
  <c r="P436"/>
  <c r="N437"/>
  <c r="O437"/>
  <c r="P437"/>
  <c r="N438"/>
  <c r="O438"/>
  <c r="P438"/>
  <c r="N439"/>
  <c r="O439"/>
  <c r="P439"/>
  <c r="N440"/>
  <c r="O440"/>
  <c r="P440"/>
  <c r="N441"/>
  <c r="O441"/>
  <c r="P441"/>
  <c r="N442"/>
  <c r="O442"/>
  <c r="P442"/>
  <c r="N443"/>
  <c r="O443"/>
  <c r="P443"/>
  <c r="N444"/>
  <c r="O444"/>
  <c r="P444"/>
  <c r="N445"/>
  <c r="O445"/>
  <c r="P445"/>
  <c r="N446"/>
  <c r="O446"/>
  <c r="P446"/>
  <c r="N447"/>
  <c r="O447"/>
  <c r="P447"/>
  <c r="N448"/>
  <c r="O448"/>
  <c r="P448"/>
  <c r="N449"/>
  <c r="O449"/>
  <c r="P449"/>
  <c r="N450"/>
  <c r="O450"/>
  <c r="P450"/>
  <c r="N451"/>
  <c r="O451"/>
  <c r="P451"/>
  <c r="N452"/>
  <c r="O452"/>
  <c r="P452"/>
  <c r="N453"/>
  <c r="O453"/>
  <c r="P453"/>
  <c r="N454"/>
  <c r="O454"/>
  <c r="P454"/>
  <c r="N455"/>
  <c r="O455"/>
  <c r="P455"/>
  <c r="N456"/>
  <c r="O456"/>
  <c r="P456"/>
  <c r="N457"/>
  <c r="O457"/>
  <c r="P457"/>
  <c r="N458"/>
  <c r="O458"/>
  <c r="P458"/>
  <c r="N459"/>
  <c r="O459"/>
  <c r="P459"/>
  <c r="N460"/>
  <c r="O460"/>
  <c r="P460"/>
  <c r="N461"/>
  <c r="O461"/>
  <c r="P461"/>
  <c r="N462"/>
  <c r="O462"/>
  <c r="P462"/>
  <c r="N463"/>
  <c r="O463"/>
  <c r="P463"/>
  <c r="O464"/>
  <c r="N465"/>
  <c r="O465"/>
  <c r="P465"/>
  <c r="N466"/>
  <c r="O466"/>
  <c r="P466"/>
  <c r="N467"/>
  <c r="O467"/>
  <c r="P467"/>
  <c r="N468"/>
  <c r="O468"/>
  <c r="P468"/>
  <c r="N469"/>
  <c r="O469"/>
  <c r="P469"/>
  <c r="N470"/>
  <c r="O470"/>
  <c r="P470"/>
  <c r="N471"/>
  <c r="O471"/>
  <c r="P471"/>
  <c r="N472"/>
  <c r="O472"/>
  <c r="P472"/>
  <c r="N473"/>
  <c r="O473"/>
  <c r="P473"/>
  <c r="N474"/>
  <c r="O474"/>
  <c r="P474"/>
  <c r="N475"/>
  <c r="O475"/>
  <c r="P475"/>
  <c r="N476"/>
  <c r="O476"/>
  <c r="P476"/>
  <c r="N477"/>
  <c r="O477"/>
  <c r="P477"/>
  <c r="N478"/>
  <c r="O478"/>
  <c r="P478"/>
  <c r="N479"/>
  <c r="O479"/>
  <c r="P479"/>
  <c r="N480"/>
  <c r="O480"/>
  <c r="P480"/>
  <c r="N491"/>
  <c r="O491"/>
  <c r="P491"/>
  <c r="N770"/>
  <c r="O770"/>
  <c r="N772"/>
  <c r="O772"/>
  <c r="P772"/>
  <c r="N773"/>
  <c r="O773"/>
  <c r="P773"/>
  <c r="N774"/>
  <c r="O774"/>
  <c r="P774"/>
  <c r="N775"/>
  <c r="O775"/>
  <c r="P775"/>
  <c r="N776"/>
  <c r="O776"/>
  <c r="P776"/>
  <c r="N777"/>
  <c r="O777"/>
  <c r="P777"/>
  <c r="N778"/>
  <c r="O778"/>
  <c r="P778"/>
  <c r="N779"/>
  <c r="O779"/>
  <c r="P779"/>
  <c r="N780"/>
  <c r="O780"/>
  <c r="P780"/>
  <c r="N781"/>
  <c r="O781"/>
  <c r="P781"/>
  <c r="N782"/>
  <c r="O782"/>
  <c r="P782"/>
  <c r="N783"/>
  <c r="O783"/>
  <c r="P783"/>
  <c r="N784"/>
  <c r="O784"/>
  <c r="P784"/>
  <c r="N785"/>
  <c r="O785"/>
  <c r="P785"/>
  <c r="N786"/>
  <c r="O786"/>
  <c r="P786"/>
  <c r="N787"/>
  <c r="O787"/>
  <c r="P787"/>
  <c r="N788"/>
  <c r="O788"/>
  <c r="P788"/>
  <c r="N789"/>
  <c r="O789"/>
  <c r="P789"/>
  <c r="N791"/>
  <c r="O791"/>
  <c r="P791"/>
  <c r="N792"/>
  <c r="O792"/>
  <c r="P792"/>
  <c r="N793"/>
  <c r="O793"/>
  <c r="P793"/>
  <c r="N794"/>
  <c r="O794"/>
  <c r="P794"/>
  <c r="N795"/>
  <c r="O795"/>
  <c r="P795"/>
  <c r="N796"/>
  <c r="O796"/>
  <c r="P796"/>
  <c r="N797"/>
  <c r="O797"/>
  <c r="P797"/>
  <c r="N798"/>
  <c r="O798"/>
  <c r="P798"/>
  <c r="N799"/>
  <c r="O799"/>
  <c r="P799"/>
  <c r="N800"/>
  <c r="O800"/>
  <c r="P800"/>
  <c r="N801"/>
  <c r="O801"/>
  <c r="P801"/>
  <c r="N802"/>
  <c r="O802"/>
  <c r="P802"/>
  <c r="P14"/>
  <c r="O14"/>
  <c r="N14"/>
  <c r="L15"/>
  <c r="M15"/>
  <c r="L16"/>
  <c r="M16"/>
  <c r="L17"/>
  <c r="M17"/>
  <c r="L20"/>
  <c r="M20"/>
  <c r="L21"/>
  <c r="M21"/>
  <c r="L22"/>
  <c r="M22"/>
  <c r="L24"/>
  <c r="M24"/>
  <c r="L381"/>
  <c r="M381"/>
  <c r="L382"/>
  <c r="M382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5"/>
  <c r="M395"/>
  <c r="L396"/>
  <c r="M396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10"/>
  <c r="M410"/>
  <c r="L415"/>
  <c r="M415"/>
  <c r="L416"/>
  <c r="M416"/>
  <c r="L417"/>
  <c r="M417"/>
  <c r="L418"/>
  <c r="M418"/>
  <c r="L419"/>
  <c r="M419"/>
  <c r="L420"/>
  <c r="M420"/>
  <c r="L421"/>
  <c r="M421"/>
  <c r="L422"/>
  <c r="M422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91"/>
  <c r="M491"/>
  <c r="L770"/>
  <c r="M770"/>
  <c r="L772"/>
  <c r="M772"/>
  <c r="L773"/>
  <c r="M773"/>
  <c r="L774"/>
  <c r="M774"/>
  <c r="L775"/>
  <c r="M775"/>
  <c r="L776"/>
  <c r="M776"/>
  <c r="L778"/>
  <c r="M778"/>
  <c r="L779"/>
  <c r="M779"/>
  <c r="L780"/>
  <c r="M780"/>
  <c r="L781"/>
  <c r="M781"/>
  <c r="L782"/>
  <c r="M782"/>
  <c r="L783"/>
  <c r="M783"/>
  <c r="L784"/>
  <c r="M784"/>
  <c r="L785"/>
  <c r="M785"/>
  <c r="L786"/>
  <c r="M786"/>
  <c r="L787"/>
  <c r="M787"/>
  <c r="L788"/>
  <c r="M788"/>
  <c r="L789"/>
  <c r="M789"/>
  <c r="L791"/>
  <c r="M791"/>
  <c r="L792"/>
  <c r="M792"/>
  <c r="L793"/>
  <c r="M793"/>
  <c r="L794"/>
  <c r="M794"/>
  <c r="L795"/>
  <c r="M795"/>
  <c r="L796"/>
  <c r="M796"/>
  <c r="L797"/>
  <c r="M797"/>
  <c r="L798"/>
  <c r="M798"/>
  <c r="L799"/>
  <c r="M799"/>
  <c r="L800"/>
  <c r="M800"/>
  <c r="L801"/>
  <c r="M801"/>
  <c r="L802"/>
  <c r="M802"/>
  <c r="M14"/>
  <c r="L14"/>
  <c r="K15"/>
  <c r="K16"/>
  <c r="K17"/>
  <c r="K20"/>
  <c r="K21"/>
  <c r="K22"/>
  <c r="K24"/>
  <c r="K381"/>
  <c r="K382"/>
  <c r="K384"/>
  <c r="K385"/>
  <c r="K386"/>
  <c r="K387"/>
  <c r="K388"/>
  <c r="K389"/>
  <c r="K390"/>
  <c r="K391"/>
  <c r="K395"/>
  <c r="K396"/>
  <c r="K398"/>
  <c r="K399"/>
  <c r="K400"/>
  <c r="K401"/>
  <c r="K402"/>
  <c r="K403"/>
  <c r="K404"/>
  <c r="K405"/>
  <c r="K406"/>
  <c r="K410"/>
  <c r="K415"/>
  <c r="K416"/>
  <c r="K417"/>
  <c r="K418"/>
  <c r="K419"/>
  <c r="K420"/>
  <c r="K421"/>
  <c r="K422"/>
  <c r="K431"/>
  <c r="K432"/>
  <c r="K433"/>
  <c r="K434"/>
  <c r="K435"/>
  <c r="K436"/>
  <c r="K437"/>
  <c r="K438"/>
  <c r="K439"/>
  <c r="K440"/>
  <c r="K441"/>
  <c r="K442"/>
  <c r="K443"/>
  <c r="K444"/>
  <c r="K445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91"/>
  <c r="K770"/>
  <c r="K772"/>
  <c r="K773"/>
  <c r="K774"/>
  <c r="K775"/>
  <c r="K776"/>
  <c r="K778"/>
  <c r="K779"/>
  <c r="K780"/>
  <c r="K781"/>
  <c r="K782"/>
  <c r="K783"/>
  <c r="K784"/>
  <c r="K785"/>
  <c r="K786"/>
  <c r="K787"/>
  <c r="K788"/>
  <c r="K789"/>
  <c r="K791"/>
  <c r="K792"/>
  <c r="K793"/>
  <c r="K794"/>
  <c r="K795"/>
  <c r="K796"/>
  <c r="K797"/>
  <c r="K798"/>
  <c r="K799"/>
  <c r="K800"/>
  <c r="K801"/>
  <c r="K802"/>
  <c r="K14"/>
  <c r="J66" i="2"/>
  <c r="M66" s="1"/>
  <c r="E112" i="6"/>
  <c r="G235" i="1"/>
  <c r="I235" s="1"/>
  <c r="J263" i="2"/>
  <c r="M263" s="1"/>
  <c r="G276"/>
  <c r="G272" s="1"/>
  <c r="E96" i="6"/>
  <c r="J739" i="2"/>
  <c r="M739" s="1"/>
  <c r="G76" i="1"/>
  <c r="I76" s="1"/>
  <c r="G108"/>
  <c r="I108" s="1"/>
  <c r="G157"/>
  <c r="I157" s="1"/>
  <c r="G166"/>
  <c r="I166" s="1"/>
  <c r="G176"/>
  <c r="I176" s="1"/>
  <c r="G218"/>
  <c r="G260"/>
  <c r="I260" s="1"/>
  <c r="G345"/>
  <c r="I345" s="1"/>
  <c r="G349"/>
  <c r="I349" s="1"/>
  <c r="G384"/>
  <c r="G449"/>
  <c r="I449" s="1"/>
  <c r="G474"/>
  <c r="I474" s="1"/>
  <c r="G501"/>
  <c r="I501" s="1"/>
  <c r="G503"/>
  <c r="I503" s="1"/>
  <c r="G554"/>
  <c r="I554" s="1"/>
  <c r="G609"/>
  <c r="G620"/>
  <c r="I620" s="1"/>
  <c r="G613"/>
  <c r="I613" s="1"/>
  <c r="G628"/>
  <c r="I628" s="1"/>
  <c r="M630"/>
  <c r="G667"/>
  <c r="I667" s="1"/>
  <c r="G730"/>
  <c r="G750"/>
  <c r="I750" s="1"/>
  <c r="G800"/>
  <c r="I800" s="1"/>
  <c r="G798"/>
  <c r="I798" s="1"/>
  <c r="G764"/>
  <c r="I764" s="1"/>
  <c r="G782"/>
  <c r="G786"/>
  <c r="G794"/>
  <c r="G714"/>
  <c r="I714" s="1"/>
  <c r="G594"/>
  <c r="I594" s="1"/>
  <c r="G497"/>
  <c r="G293"/>
  <c r="I293" s="1"/>
  <c r="G306"/>
  <c r="J540" i="2"/>
  <c r="M540" s="1"/>
  <c r="G303" i="1"/>
  <c r="G295"/>
  <c r="I295" s="1"/>
  <c r="G383" l="1"/>
  <c r="I383" s="1"/>
  <c r="I384"/>
  <c r="G729"/>
  <c r="I729" s="1"/>
  <c r="I730"/>
  <c r="G608"/>
  <c r="I608" s="1"/>
  <c r="I609"/>
  <c r="G584"/>
  <c r="I584" s="1"/>
  <c r="I589"/>
  <c r="I544" i="2"/>
  <c r="I306" i="1"/>
  <c r="K544" i="2" s="1"/>
  <c r="N544" s="1"/>
  <c r="G217" i="1"/>
  <c r="I217" s="1"/>
  <c r="F112" i="6" s="1"/>
  <c r="I218" i="1"/>
  <c r="G785"/>
  <c r="I785" s="1"/>
  <c r="I786"/>
  <c r="G302"/>
  <c r="I303"/>
  <c r="G793"/>
  <c r="I793" s="1"/>
  <c r="I794"/>
  <c r="G781"/>
  <c r="I782"/>
  <c r="F276" i="2"/>
  <c r="F272" s="1"/>
  <c r="F271" s="1"/>
  <c r="I497" i="1"/>
  <c r="H276" i="2" s="1"/>
  <c r="H272" s="1"/>
  <c r="E94" i="6"/>
  <c r="G562" i="1"/>
  <c r="I562" s="1"/>
  <c r="D112" i="6"/>
  <c r="D111" s="1"/>
  <c r="G216" i="1"/>
  <c r="I216" s="1"/>
  <c r="D94" i="6"/>
  <c r="H421" i="2"/>
  <c r="H419" s="1"/>
  <c r="G658"/>
  <c r="G657" s="1"/>
  <c r="G648" s="1"/>
  <c r="G608"/>
  <c r="E108" i="6"/>
  <c r="G620" i="2"/>
  <c r="G618" s="1"/>
  <c r="O9" i="1"/>
  <c r="E12" i="6"/>
  <c r="D12"/>
  <c r="D18"/>
  <c r="E18"/>
  <c r="F12"/>
  <c r="F18"/>
  <c r="P9" i="1"/>
  <c r="L9"/>
  <c r="K9"/>
  <c r="M9"/>
  <c r="N9"/>
  <c r="P771"/>
  <c r="O771"/>
  <c r="N771"/>
  <c r="M790"/>
  <c r="M380"/>
  <c r="N790"/>
  <c r="K790"/>
  <c r="O790"/>
  <c r="P790"/>
  <c r="L790"/>
  <c r="L380"/>
  <c r="N23"/>
  <c r="P380"/>
  <c r="O380"/>
  <c r="G612"/>
  <c r="I612" s="1"/>
  <c r="G797"/>
  <c r="G792" l="1"/>
  <c r="I792" s="1"/>
  <c r="I797"/>
  <c r="I540" i="2"/>
  <c r="I302" i="1"/>
  <c r="K540" i="2" s="1"/>
  <c r="N540" s="1"/>
  <c r="F94" i="6"/>
  <c r="G780" i="1"/>
  <c r="I780" s="1"/>
  <c r="I781"/>
  <c r="E93" i="6"/>
  <c r="J26" i="2"/>
  <c r="M26" s="1"/>
  <c r="G619"/>
  <c r="G468" i="1"/>
  <c r="G370"/>
  <c r="I370" s="1"/>
  <c r="G152"/>
  <c r="I152" s="1"/>
  <c r="G149"/>
  <c r="I149" s="1"/>
  <c r="G717"/>
  <c r="I717" s="1"/>
  <c r="H56" i="2"/>
  <c r="H54" s="1"/>
  <c r="H53" s="1"/>
  <c r="H52" s="1"/>
  <c r="G56"/>
  <c r="G54" s="1"/>
  <c r="G53" s="1"/>
  <c r="G52" s="1"/>
  <c r="G373" i="1"/>
  <c r="M89"/>
  <c r="L89"/>
  <c r="K89"/>
  <c r="K33"/>
  <c r="G749"/>
  <c r="I749" s="1"/>
  <c r="G743"/>
  <c r="I743" s="1"/>
  <c r="G544"/>
  <c r="I544" s="1"/>
  <c r="G141"/>
  <c r="I141" s="1"/>
  <c r="G372" l="1"/>
  <c r="I372" s="1"/>
  <c r="I373"/>
  <c r="G467"/>
  <c r="I467" s="1"/>
  <c r="I468"/>
  <c r="K743"/>
  <c r="F580" i="2"/>
  <c r="F578" s="1"/>
  <c r="F577" s="1"/>
  <c r="K749" i="1"/>
  <c r="F585" i="2"/>
  <c r="F583" s="1"/>
  <c r="K509" i="1"/>
  <c r="G507"/>
  <c r="I507" s="1"/>
  <c r="G721"/>
  <c r="I721" s="1"/>
  <c r="K723"/>
  <c r="H529" i="2"/>
  <c r="H527" s="1"/>
  <c r="M723" i="1"/>
  <c r="G580" i="2"/>
  <c r="G578" s="1"/>
  <c r="G577" s="1"/>
  <c r="L743" i="1"/>
  <c r="H585" i="2"/>
  <c r="H583" s="1"/>
  <c r="M749" i="1"/>
  <c r="H281" i="2"/>
  <c r="H279" s="1"/>
  <c r="M509" i="1"/>
  <c r="G529" i="2"/>
  <c r="G527" s="1"/>
  <c r="L723" i="1"/>
  <c r="H580" i="2"/>
  <c r="H578" s="1"/>
  <c r="H577" s="1"/>
  <c r="M743" i="1"/>
  <c r="G585" i="2"/>
  <c r="G583" s="1"/>
  <c r="L749" i="1"/>
  <c r="G74" i="2"/>
  <c r="G72" s="1"/>
  <c r="L65" i="1"/>
  <c r="L23" s="1"/>
  <c r="G96" i="2"/>
  <c r="G95" s="1"/>
  <c r="H96"/>
  <c r="H95" s="1"/>
  <c r="G775" i="1"/>
  <c r="K777"/>
  <c r="K771" s="1"/>
  <c r="G741"/>
  <c r="G747"/>
  <c r="I747" s="1"/>
  <c r="M777"/>
  <c r="M771" s="1"/>
  <c r="G63"/>
  <c r="I63" s="1"/>
  <c r="G31"/>
  <c r="I31" s="1"/>
  <c r="L777"/>
  <c r="L771" s="1"/>
  <c r="G740" l="1"/>
  <c r="I740" s="1"/>
  <c r="I741"/>
  <c r="G774"/>
  <c r="I774" s="1"/>
  <c r="I775"/>
  <c r="H576" i="2"/>
  <c r="F576"/>
  <c r="F270" s="1"/>
  <c r="G576"/>
  <c r="G71"/>
  <c r="G70" s="1"/>
  <c r="G9" s="1"/>
  <c r="H71"/>
  <c r="G526"/>
  <c r="G507" s="1"/>
  <c r="H526"/>
  <c r="H507" s="1"/>
  <c r="K490" i="1"/>
  <c r="J576" i="2"/>
  <c r="L490" i="1"/>
  <c r="H70" i="2" l="1"/>
  <c r="H9" s="1"/>
  <c r="M576"/>
  <c r="L803" i="1"/>
  <c r="L811" s="1"/>
  <c r="G206"/>
  <c r="I206" s="1"/>
  <c r="E132" i="6" l="1"/>
  <c r="F132"/>
  <c r="D132"/>
  <c r="D131"/>
  <c r="P682" i="1"/>
  <c r="O682"/>
  <c r="P681"/>
  <c r="O681"/>
  <c r="E131" i="6"/>
  <c r="F131"/>
  <c r="G479" i="2" l="1"/>
  <c r="G480"/>
  <c r="H479"/>
  <c r="H480"/>
  <c r="F31"/>
  <c r="G683" i="1"/>
  <c r="I683" s="1"/>
  <c r="H478" i="2" l="1"/>
  <c r="G478"/>
  <c r="G267" i="1"/>
  <c r="I267" s="1"/>
  <c r="E130" i="6"/>
  <c r="F130"/>
  <c r="D130"/>
  <c r="H326" i="2" l="1"/>
  <c r="P269" i="1"/>
  <c r="G287" l="1"/>
  <c r="I287" s="1"/>
  <c r="G285"/>
  <c r="I285" s="1"/>
  <c r="F15" i="7"/>
  <c r="G15"/>
  <c r="F16"/>
  <c r="G16"/>
  <c r="E16"/>
  <c r="G185" i="1"/>
  <c r="I185" s="1"/>
  <c r="G284" l="1"/>
  <c r="I284" s="1"/>
  <c r="G607"/>
  <c r="I607" s="1"/>
  <c r="G535"/>
  <c r="I535" s="1"/>
  <c r="G598"/>
  <c r="G454"/>
  <c r="I454" s="1"/>
  <c r="G597" l="1"/>
  <c r="I598"/>
  <c r="D129" i="6"/>
  <c r="D128" s="1"/>
  <c r="E129"/>
  <c r="E128" s="1"/>
  <c r="G641" i="1"/>
  <c r="I641" s="1"/>
  <c r="G326"/>
  <c r="G252"/>
  <c r="G431"/>
  <c r="I431" s="1"/>
  <c r="F127" i="6"/>
  <c r="G92" i="1"/>
  <c r="I92" s="1"/>
  <c r="G317"/>
  <c r="G494"/>
  <c r="D104" i="6"/>
  <c r="E51"/>
  <c r="F51"/>
  <c r="E65"/>
  <c r="F65"/>
  <c r="D96" l="1"/>
  <c r="I597" i="1"/>
  <c r="F96" i="6" s="1"/>
  <c r="F620" i="2"/>
  <c r="F618" s="1"/>
  <c r="I326" i="1"/>
  <c r="H620" i="2" s="1"/>
  <c r="H618" s="1"/>
  <c r="G316" i="1"/>
  <c r="I316" s="1"/>
  <c r="I317"/>
  <c r="F258" i="2"/>
  <c r="F255" s="1"/>
  <c r="F194" s="1"/>
  <c r="I252" i="1"/>
  <c r="G493"/>
  <c r="I493" s="1"/>
  <c r="I494"/>
  <c r="F93" i="6" s="1"/>
  <c r="G259" i="2"/>
  <c r="E127" i="6"/>
  <c r="D93"/>
  <c r="D92" s="1"/>
  <c r="G561" i="1"/>
  <c r="I561" s="1"/>
  <c r="H336" i="2"/>
  <c r="P504" i="1"/>
  <c r="H337" i="2"/>
  <c r="M505" i="1"/>
  <c r="H258" i="2"/>
  <c r="H255" s="1"/>
  <c r="H194" s="1"/>
  <c r="H259"/>
  <c r="F104" i="6"/>
  <c r="G325" i="1"/>
  <c r="G258" i="2"/>
  <c r="G255" s="1"/>
  <c r="G194" s="1"/>
  <c r="G435" i="1"/>
  <c r="F17" i="7"/>
  <c r="F14" s="1"/>
  <c r="F34" s="1"/>
  <c r="G688" i="1"/>
  <c r="I688" s="1"/>
  <c r="E104" i="6"/>
  <c r="K446" i="1"/>
  <c r="H684" i="2"/>
  <c r="H683" s="1"/>
  <c r="G61" i="1"/>
  <c r="I61" s="1"/>
  <c r="E17" i="7"/>
  <c r="F20" i="2"/>
  <c r="F19" s="1"/>
  <c r="G16" i="1"/>
  <c r="I16" s="1"/>
  <c r="F619" i="2" l="1"/>
  <c r="I325" i="1"/>
  <c r="H619" i="2" s="1"/>
  <c r="F608"/>
  <c r="I435" i="1"/>
  <c r="H335" i="2"/>
  <c r="E30" i="4"/>
  <c r="F30"/>
  <c r="D108" i="6"/>
  <c r="P770" i="1"/>
  <c r="F108" i="6" l="1"/>
  <c r="H608" i="2"/>
  <c r="J734"/>
  <c r="M734" s="1"/>
  <c r="G378" i="1"/>
  <c r="G713"/>
  <c r="I713" s="1"/>
  <c r="D106" i="6"/>
  <c r="G270" i="1"/>
  <c r="I270" s="1"/>
  <c r="G274"/>
  <c r="I274" s="1"/>
  <c r="G279"/>
  <c r="G633"/>
  <c r="I633" s="1"/>
  <c r="E15" i="7"/>
  <c r="G210" i="1"/>
  <c r="G237"/>
  <c r="E106" i="6"/>
  <c r="P268" i="1"/>
  <c r="G366"/>
  <c r="I366" s="1"/>
  <c r="G724"/>
  <c r="I724" s="1"/>
  <c r="G637"/>
  <c r="I637" s="1"/>
  <c r="G635"/>
  <c r="I635" s="1"/>
  <c r="N759"/>
  <c r="N761"/>
  <c r="K392"/>
  <c r="K380" s="1"/>
  <c r="P677"/>
  <c r="O677"/>
  <c r="P559"/>
  <c r="O559"/>
  <c r="N559"/>
  <c r="P556"/>
  <c r="O556"/>
  <c r="P553"/>
  <c r="O553"/>
  <c r="N523"/>
  <c r="P521"/>
  <c r="O521"/>
  <c r="G464"/>
  <c r="I464" s="1"/>
  <c r="E99" i="6"/>
  <c r="G377" i="1" l="1"/>
  <c r="I377" s="1"/>
  <c r="I378"/>
  <c r="G234"/>
  <c r="I234" s="1"/>
  <c r="I237"/>
  <c r="G278"/>
  <c r="I278" s="1"/>
  <c r="I279"/>
  <c r="H672" i="2"/>
  <c r="H670" s="1"/>
  <c r="P464" i="1"/>
  <c r="G205"/>
  <c r="I205" s="1"/>
  <c r="I210"/>
  <c r="F100" i="6" s="1"/>
  <c r="N464" i="1"/>
  <c r="N380" s="1"/>
  <c r="Q23" s="1"/>
  <c r="Q25" s="1"/>
  <c r="F672" i="2"/>
  <c r="F670" s="1"/>
  <c r="F665" s="1"/>
  <c r="F664" s="1"/>
  <c r="F659" s="1"/>
  <c r="F118" i="6"/>
  <c r="F111" s="1"/>
  <c r="E118"/>
  <c r="E111" s="1"/>
  <c r="G295" i="2"/>
  <c r="O519" i="1"/>
  <c r="G300" i="2"/>
  <c r="G299" s="1"/>
  <c r="G298" s="1"/>
  <c r="O523" i="1"/>
  <c r="G346" i="2"/>
  <c r="O555" i="1"/>
  <c r="G349" i="2"/>
  <c r="O558" i="1"/>
  <c r="H464" i="2"/>
  <c r="H463" s="1"/>
  <c r="P666" i="1"/>
  <c r="H473" i="2"/>
  <c r="H472" s="1"/>
  <c r="P675" i="1"/>
  <c r="G470" i="2"/>
  <c r="O672" i="1"/>
  <c r="G669" i="2"/>
  <c r="G668" s="1"/>
  <c r="O761" i="1"/>
  <c r="H667" i="2"/>
  <c r="H666" s="1"/>
  <c r="P759" i="1"/>
  <c r="H466" i="2"/>
  <c r="H465" s="1"/>
  <c r="P668" i="1"/>
  <c r="G342" i="2"/>
  <c r="O551" i="1"/>
  <c r="H295" i="2"/>
  <c r="P519" i="1"/>
  <c r="H300" i="2"/>
  <c r="H299" s="1"/>
  <c r="H298" s="1"/>
  <c r="P523" i="1"/>
  <c r="H342" i="2"/>
  <c r="P551" i="1"/>
  <c r="H346" i="2"/>
  <c r="P555" i="1"/>
  <c r="H349" i="2"/>
  <c r="P558" i="1"/>
  <c r="G464" i="2"/>
  <c r="G463" s="1"/>
  <c r="O666" i="1"/>
  <c r="G473" i="2"/>
  <c r="G472" s="1"/>
  <c r="O675" i="1"/>
  <c r="G466" i="2"/>
  <c r="G465" s="1"/>
  <c r="O668" i="1"/>
  <c r="H470" i="2"/>
  <c r="P672" i="1"/>
  <c r="H669" i="2"/>
  <c r="H668" s="1"/>
  <c r="P761" i="1"/>
  <c r="G667" i="2"/>
  <c r="G666" s="1"/>
  <c r="O759" i="1"/>
  <c r="E14" i="7"/>
  <c r="E34" s="1"/>
  <c r="G297" i="2"/>
  <c r="H344"/>
  <c r="H347"/>
  <c r="G350"/>
  <c r="H475"/>
  <c r="H474" s="1"/>
  <c r="H325"/>
  <c r="H324" s="1"/>
  <c r="H297"/>
  <c r="G344"/>
  <c r="G347"/>
  <c r="H350"/>
  <c r="G475"/>
  <c r="G474" s="1"/>
  <c r="K23" i="1"/>
  <c r="K803" s="1"/>
  <c r="K811" s="1"/>
  <c r="D100" i="6"/>
  <c r="G760" i="1"/>
  <c r="I760" s="1"/>
  <c r="E100" i="6"/>
  <c r="O23" i="1"/>
  <c r="G758"/>
  <c r="I758" s="1"/>
  <c r="F106" i="6"/>
  <c r="G266" i="1"/>
  <c r="D99" i="6"/>
  <c r="D103"/>
  <c r="F99"/>
  <c r="G376" i="1"/>
  <c r="G265" l="1"/>
  <c r="I265" s="1"/>
  <c r="I266"/>
  <c r="G375"/>
  <c r="I376"/>
  <c r="G188"/>
  <c r="I188" s="1"/>
  <c r="D98" i="6"/>
  <c r="G757" i="1"/>
  <c r="I757" s="1"/>
  <c r="H469" i="2"/>
  <c r="H468" s="1"/>
  <c r="G469"/>
  <c r="G468" s="1"/>
  <c r="H462"/>
  <c r="H294"/>
  <c r="H293" s="1"/>
  <c r="G341"/>
  <c r="G348"/>
  <c r="G665"/>
  <c r="G664" s="1"/>
  <c r="H665"/>
  <c r="H664" s="1"/>
  <c r="G462"/>
  <c r="H345"/>
  <c r="H348"/>
  <c r="H341"/>
  <c r="G345"/>
  <c r="G294"/>
  <c r="G293" s="1"/>
  <c r="R23" i="1"/>
  <c r="G17" i="7"/>
  <c r="G14" s="1"/>
  <c r="G448" i="1"/>
  <c r="I448" s="1"/>
  <c r="I734" i="2" l="1"/>
  <c r="I375" i="1"/>
  <c r="K734" i="2" s="1"/>
  <c r="N734" s="1"/>
  <c r="G340"/>
  <c r="G278" s="1"/>
  <c r="G271" s="1"/>
  <c r="H340"/>
  <c r="H278" s="1"/>
  <c r="G389" i="1"/>
  <c r="I389" s="1"/>
  <c r="J52" i="2" l="1"/>
  <c r="M52" s="1"/>
  <c r="G784" i="1"/>
  <c r="I739" i="2" l="1"/>
  <c r="I784" i="1"/>
  <c r="K739" i="2" s="1"/>
  <c r="N739" s="1"/>
  <c r="J70"/>
  <c r="M70" s="1"/>
  <c r="E49" i="6"/>
  <c r="F49"/>
  <c r="D49"/>
  <c r="D90"/>
  <c r="E43"/>
  <c r="F43"/>
  <c r="D43"/>
  <c r="E64"/>
  <c r="F64"/>
  <c r="D65"/>
  <c r="D64" s="1"/>
  <c r="E77"/>
  <c r="F77"/>
  <c r="D77"/>
  <c r="E62"/>
  <c r="F62"/>
  <c r="D62"/>
  <c r="E10"/>
  <c r="F10"/>
  <c r="D10"/>
  <c r="G122" i="1"/>
  <c r="I122" s="1"/>
  <c r="E105" i="6"/>
  <c r="D105"/>
  <c r="G173" i="1"/>
  <c r="I173" s="1"/>
  <c r="G334"/>
  <c r="G457"/>
  <c r="I457" s="1"/>
  <c r="H658" i="2" s="1"/>
  <c r="H657" s="1"/>
  <c r="H648" s="1"/>
  <c r="E53" i="6"/>
  <c r="G477" i="1"/>
  <c r="I477" s="1"/>
  <c r="G479"/>
  <c r="D53" i="6" l="1"/>
  <c r="I479" i="1"/>
  <c r="F53" i="6" s="1"/>
  <c r="G323" i="1"/>
  <c r="I334"/>
  <c r="G322"/>
  <c r="I322" s="1"/>
  <c r="I323"/>
  <c r="G456"/>
  <c r="I456" s="1"/>
  <c r="F658" i="2"/>
  <c r="F657" s="1"/>
  <c r="F648" s="1"/>
  <c r="G473" i="1"/>
  <c r="I473" s="1"/>
  <c r="H323" i="2"/>
  <c r="H322" s="1"/>
  <c r="M502" i="1"/>
  <c r="M490" s="1"/>
  <c r="F52" i="6"/>
  <c r="E52"/>
  <c r="E50" s="1"/>
  <c r="J694" i="2"/>
  <c r="M694" s="1"/>
  <c r="D52" i="6"/>
  <c r="D102"/>
  <c r="G500" i="1"/>
  <c r="I500" s="1"/>
  <c r="G445"/>
  <c r="I445" s="1"/>
  <c r="F50" i="6" l="1"/>
  <c r="F105"/>
  <c r="F39"/>
  <c r="E39"/>
  <c r="D39"/>
  <c r="G767" i="1" l="1"/>
  <c r="I767" s="1"/>
  <c r="O766"/>
  <c r="G678"/>
  <c r="I678" s="1"/>
  <c r="G676"/>
  <c r="I676" s="1"/>
  <c r="G674"/>
  <c r="I674" s="1"/>
  <c r="G671"/>
  <c r="G665"/>
  <c r="I665" s="1"/>
  <c r="G441"/>
  <c r="G443"/>
  <c r="G391"/>
  <c r="G314"/>
  <c r="G388" l="1"/>
  <c r="I391"/>
  <c r="F616" i="2"/>
  <c r="I443" i="1"/>
  <c r="G670"/>
  <c r="I671"/>
  <c r="G311"/>
  <c r="I314"/>
  <c r="F614" i="2"/>
  <c r="F607" s="1"/>
  <c r="F592" s="1"/>
  <c r="F591" s="1"/>
  <c r="I441" i="1"/>
  <c r="H614" i="2" s="1"/>
  <c r="G477"/>
  <c r="O679" i="1"/>
  <c r="G679" i="2"/>
  <c r="O765" i="1"/>
  <c r="G616" i="2"/>
  <c r="E110" i="6"/>
  <c r="D109"/>
  <c r="G614" i="2"/>
  <c r="E109" i="6"/>
  <c r="G680" i="2"/>
  <c r="D110" i="6"/>
  <c r="H616" i="2"/>
  <c r="F110" i="6"/>
  <c r="N490" i="1"/>
  <c r="J659" i="2"/>
  <c r="G434" i="1"/>
  <c r="I434" s="1"/>
  <c r="G472"/>
  <c r="I472" s="1"/>
  <c r="D51" i="6"/>
  <c r="D50" s="1"/>
  <c r="G680" i="1"/>
  <c r="I680" s="1"/>
  <c r="G119"/>
  <c r="I119" s="1"/>
  <c r="F109" i="6" l="1"/>
  <c r="F107" s="1"/>
  <c r="G663" i="1"/>
  <c r="I663" s="1"/>
  <c r="I670"/>
  <c r="G382"/>
  <c r="I382" s="1"/>
  <c r="I388"/>
  <c r="G310"/>
  <c r="I311"/>
  <c r="E107" i="6"/>
  <c r="G607" i="2"/>
  <c r="G592" s="1"/>
  <c r="G591" s="1"/>
  <c r="G476"/>
  <c r="G471" s="1"/>
  <c r="G461" s="1"/>
  <c r="G418" s="1"/>
  <c r="G351" s="1"/>
  <c r="G270" s="1"/>
  <c r="H607"/>
  <c r="H592" s="1"/>
  <c r="H591" s="1"/>
  <c r="G678"/>
  <c r="G677" s="1"/>
  <c r="D107" i="6"/>
  <c r="N803" i="1"/>
  <c r="G38"/>
  <c r="I38" s="1"/>
  <c r="G44"/>
  <c r="I44" s="1"/>
  <c r="G41"/>
  <c r="I41" s="1"/>
  <c r="G47"/>
  <c r="I47" s="1"/>
  <c r="G309" l="1"/>
  <c r="I310"/>
  <c r="G676" i="2"/>
  <c r="G659" s="1"/>
  <c r="M659" s="1"/>
  <c r="G30" i="1"/>
  <c r="I30" s="1"/>
  <c r="K807"/>
  <c r="N808"/>
  <c r="O490"/>
  <c r="O803" s="1"/>
  <c r="G264" l="1"/>
  <c r="I264" s="1"/>
  <c r="I309"/>
  <c r="E98" i="6"/>
  <c r="F98"/>
  <c r="M271" i="1" l="1"/>
  <c r="G13" i="7"/>
  <c r="G34" s="1"/>
  <c r="H329" i="2"/>
  <c r="P272" i="1"/>
  <c r="H330" i="2"/>
  <c r="P273" i="1"/>
  <c r="M23"/>
  <c r="M803" s="1"/>
  <c r="M811" s="1"/>
  <c r="H328" i="2"/>
  <c r="L807" i="1"/>
  <c r="O808"/>
  <c r="F14" i="5"/>
  <c r="F13"/>
  <c r="H327" i="2" l="1"/>
  <c r="H321" s="1"/>
  <c r="H271" s="1"/>
  <c r="P23" i="1"/>
  <c r="E103" i="6"/>
  <c r="E102" s="1"/>
  <c r="E92" s="1"/>
  <c r="F103"/>
  <c r="F102" s="1"/>
  <c r="F92" s="1"/>
  <c r="E13" i="5"/>
  <c r="E14"/>
  <c r="S23" i="1" l="1"/>
  <c r="E55" i="4"/>
  <c r="E54" s="1"/>
  <c r="F55"/>
  <c r="F54" s="1"/>
  <c r="F45"/>
  <c r="F30" i="2"/>
  <c r="F29"/>
  <c r="E45" i="4" l="1"/>
  <c r="F28" i="2"/>
  <c r="F42" i="4"/>
  <c r="F12" i="5"/>
  <c r="F16" s="1"/>
  <c r="F57" i="4"/>
  <c r="F56" s="1"/>
  <c r="E12" i="5"/>
  <c r="E16" s="1"/>
  <c r="F15"/>
  <c r="E15" s="1"/>
  <c r="F25" i="2"/>
  <c r="F18"/>
  <c r="F17"/>
  <c r="F11"/>
  <c r="F10" s="1"/>
  <c r="G778" i="1"/>
  <c r="G769"/>
  <c r="I769" s="1"/>
  <c r="G639"/>
  <c r="I639" s="1"/>
  <c r="G631"/>
  <c r="I631" s="1"/>
  <c r="G462"/>
  <c r="I462" s="1"/>
  <c r="G452"/>
  <c r="G421"/>
  <c r="J722" i="2"/>
  <c r="M722" s="1"/>
  <c r="G341" i="1"/>
  <c r="G340" l="1"/>
  <c r="I340" s="1"/>
  <c r="I341"/>
  <c r="G447"/>
  <c r="I447" s="1"/>
  <c r="I452"/>
  <c r="G420"/>
  <c r="I420" s="1"/>
  <c r="I421"/>
  <c r="G773"/>
  <c r="I778"/>
  <c r="J507" i="2"/>
  <c r="M507" s="1"/>
  <c r="H477"/>
  <c r="P679" i="1"/>
  <c r="H679" i="2"/>
  <c r="P765" i="1"/>
  <c r="H680" i="2"/>
  <c r="P766" i="1"/>
  <c r="J591" i="2"/>
  <c r="M591" s="1"/>
  <c r="E48" i="6"/>
  <c r="G753" i="1"/>
  <c r="G736"/>
  <c r="I736" s="1"/>
  <c r="G368"/>
  <c r="G339"/>
  <c r="I339" s="1"/>
  <c r="G348"/>
  <c r="I348" s="1"/>
  <c r="G557"/>
  <c r="G686"/>
  <c r="G726"/>
  <c r="G415"/>
  <c r="G547"/>
  <c r="I547" s="1"/>
  <c r="G402"/>
  <c r="I402" s="1"/>
  <c r="G513"/>
  <c r="I513" s="1"/>
  <c r="G515"/>
  <c r="I515" s="1"/>
  <c r="G353"/>
  <c r="F16" i="2"/>
  <c r="F15" s="1"/>
  <c r="E57" i="4"/>
  <c r="E56" s="1"/>
  <c r="G461" i="1"/>
  <c r="E42" i="4"/>
  <c r="G549" i="1" l="1"/>
  <c r="I549" s="1"/>
  <c r="I557"/>
  <c r="G627"/>
  <c r="I627" s="1"/>
  <c r="I686"/>
  <c r="G365"/>
  <c r="I368"/>
  <c r="G712"/>
  <c r="I712" s="1"/>
  <c r="K507" i="2" s="1"/>
  <c r="N507" s="1"/>
  <c r="I726" i="1"/>
  <c r="I52" i="2"/>
  <c r="I773" i="1"/>
  <c r="K52" i="2" s="1"/>
  <c r="N52" s="1"/>
  <c r="G405" i="1"/>
  <c r="I405" s="1"/>
  <c r="I415"/>
  <c r="G746"/>
  <c r="I753"/>
  <c r="G460"/>
  <c r="I460" s="1"/>
  <c r="I461"/>
  <c r="G352"/>
  <c r="I352" s="1"/>
  <c r="I353"/>
  <c r="G560"/>
  <c r="I560" s="1"/>
  <c r="H678" i="2"/>
  <c r="H677" s="1"/>
  <c r="H476"/>
  <c r="H471" s="1"/>
  <c r="H461" s="1"/>
  <c r="H418" s="1"/>
  <c r="H351" s="1"/>
  <c r="H270" s="1"/>
  <c r="J351"/>
  <c r="M351" s="1"/>
  <c r="K271"/>
  <c r="N271" s="1"/>
  <c r="J271"/>
  <c r="M271" s="1"/>
  <c r="I507"/>
  <c r="G735" i="1"/>
  <c r="F50" i="4"/>
  <c r="F49" s="1"/>
  <c r="G756" i="1"/>
  <c r="I756" s="1"/>
  <c r="F48" i="6"/>
  <c r="G471" i="1"/>
  <c r="E52" i="4"/>
  <c r="E51" s="1"/>
  <c r="F32"/>
  <c r="F31" s="1"/>
  <c r="G249" i="1"/>
  <c r="I249" s="1"/>
  <c r="J140" i="2"/>
  <c r="M140" s="1"/>
  <c r="G172" i="1"/>
  <c r="I172" s="1"/>
  <c r="G165"/>
  <c r="I165" s="1"/>
  <c r="G135"/>
  <c r="I135" s="1"/>
  <c r="G127"/>
  <c r="G118"/>
  <c r="I118" s="1"/>
  <c r="G115"/>
  <c r="I115" s="1"/>
  <c r="G107"/>
  <c r="I107" s="1"/>
  <c r="G104"/>
  <c r="I104" s="1"/>
  <c r="G90"/>
  <c r="I90" s="1"/>
  <c r="G88"/>
  <c r="I88" s="1"/>
  <c r="G84"/>
  <c r="I84" s="1"/>
  <c r="G70"/>
  <c r="I70" s="1"/>
  <c r="G57"/>
  <c r="I57" s="1"/>
  <c r="F46" i="2"/>
  <c r="F45"/>
  <c r="F43"/>
  <c r="F42"/>
  <c r="F40"/>
  <c r="F39"/>
  <c r="F37"/>
  <c r="F36"/>
  <c r="F34"/>
  <c r="F33" s="1"/>
  <c r="F32" s="1"/>
  <c r="G36" i="1"/>
  <c r="I10" i="2"/>
  <c r="L10" s="1"/>
  <c r="G21" i="1"/>
  <c r="I21" s="1"/>
  <c r="G13"/>
  <c r="I13" s="1"/>
  <c r="G404" l="1"/>
  <c r="I591" i="2" s="1"/>
  <c r="I351"/>
  <c r="G506" i="1"/>
  <c r="I506" s="1"/>
  <c r="G739"/>
  <c r="I746"/>
  <c r="G364"/>
  <c r="I365"/>
  <c r="G35"/>
  <c r="I36"/>
  <c r="G126"/>
  <c r="I126" s="1"/>
  <c r="I127"/>
  <c r="G728"/>
  <c r="I728" s="1"/>
  <c r="I735"/>
  <c r="I694" i="2"/>
  <c r="I471" i="1"/>
  <c r="K694" i="2" s="1"/>
  <c r="N694" s="1"/>
  <c r="I404" i="1"/>
  <c r="K591" i="2" s="1"/>
  <c r="N591" s="1"/>
  <c r="H676"/>
  <c r="H659" s="1"/>
  <c r="G60" i="1"/>
  <c r="I271" i="2"/>
  <c r="J547"/>
  <c r="M547" s="1"/>
  <c r="P490" i="1"/>
  <c r="P803" s="1"/>
  <c r="F24" i="2"/>
  <c r="E90" i="6"/>
  <c r="E147" s="1"/>
  <c r="F90"/>
  <c r="E50" i="4"/>
  <c r="E49" s="1"/>
  <c r="G106" i="1"/>
  <c r="I106" s="1"/>
  <c r="G791"/>
  <c r="G401"/>
  <c r="I401" s="1"/>
  <c r="G134"/>
  <c r="I134" s="1"/>
  <c r="G344"/>
  <c r="I344" s="1"/>
  <c r="G56"/>
  <c r="F38" i="2"/>
  <c r="G121" i="1"/>
  <c r="G175"/>
  <c r="F44" i="2"/>
  <c r="F52" i="4"/>
  <c r="F51" s="1"/>
  <c r="F46"/>
  <c r="G259" i="1"/>
  <c r="I259" s="1"/>
  <c r="F35" i="2"/>
  <c r="G139" i="1"/>
  <c r="G156"/>
  <c r="J194" i="2"/>
  <c r="M194" s="1"/>
  <c r="E46" i="4"/>
  <c r="F41" i="2"/>
  <c r="G147" i="1"/>
  <c r="E19" i="4"/>
  <c r="E32"/>
  <c r="E31" s="1"/>
  <c r="E27"/>
  <c r="G138" i="1" l="1"/>
  <c r="I139"/>
  <c r="G29"/>
  <c r="I35"/>
  <c r="I576" i="2"/>
  <c r="I739" i="1"/>
  <c r="K576" i="2" s="1"/>
  <c r="N576" s="1"/>
  <c r="G146" i="1"/>
  <c r="I146" s="1"/>
  <c r="I147"/>
  <c r="G155"/>
  <c r="I155" s="1"/>
  <c r="I156"/>
  <c r="G117"/>
  <c r="I117" s="1"/>
  <c r="I121"/>
  <c r="G164"/>
  <c r="I164" s="1"/>
  <c r="I175"/>
  <c r="G59"/>
  <c r="I59" s="1"/>
  <c r="K70" i="2" s="1"/>
  <c r="N70" s="1"/>
  <c r="I60" i="1"/>
  <c r="G363"/>
  <c r="I364"/>
  <c r="G55"/>
  <c r="G24" s="1"/>
  <c r="I24" s="1"/>
  <c r="I56"/>
  <c r="G790"/>
  <c r="I790" s="1"/>
  <c r="I791"/>
  <c r="F27" i="2"/>
  <c r="F26" s="1"/>
  <c r="J270"/>
  <c r="M270" s="1"/>
  <c r="G20" i="1"/>
  <c r="I20" s="1"/>
  <c r="G187"/>
  <c r="G343"/>
  <c r="G772"/>
  <c r="G763"/>
  <c r="G395"/>
  <c r="F11" i="4"/>
  <c r="E11" s="1"/>
  <c r="D11" s="1"/>
  <c r="F26"/>
  <c r="E26" s="1"/>
  <c r="F34"/>
  <c r="I722" i="2" l="1"/>
  <c r="I363" i="1"/>
  <c r="K722" i="2" s="1"/>
  <c r="N722" s="1"/>
  <c r="G137" i="1"/>
  <c r="I138"/>
  <c r="G762"/>
  <c r="I763"/>
  <c r="I547" i="2"/>
  <c r="I395" i="1"/>
  <c r="K547" i="2" s="1"/>
  <c r="N547" s="1"/>
  <c r="I66"/>
  <c r="I55" i="1"/>
  <c r="K66" i="2" s="1"/>
  <c r="N66" s="1"/>
  <c r="I26"/>
  <c r="I29" i="1"/>
  <c r="K26" i="2" s="1"/>
  <c r="N26" s="1"/>
  <c r="L26"/>
  <c r="G338" i="1"/>
  <c r="I338" s="1"/>
  <c r="I343"/>
  <c r="I70" i="2"/>
  <c r="G771" i="1"/>
  <c r="I771" s="1"/>
  <c r="I772"/>
  <c r="I194" i="2"/>
  <c r="I187" i="1"/>
  <c r="K194" i="2" s="1"/>
  <c r="N194" s="1"/>
  <c r="G11" i="1"/>
  <c r="K351" i="2"/>
  <c r="N351" s="1"/>
  <c r="J103"/>
  <c r="M103" s="1"/>
  <c r="J14"/>
  <c r="M14" s="1"/>
  <c r="M807" i="1"/>
  <c r="P808"/>
  <c r="F12" i="4"/>
  <c r="G381" i="1"/>
  <c r="I381" s="1"/>
  <c r="G258"/>
  <c r="E29" i="4"/>
  <c r="G491" i="1"/>
  <c r="I491" s="1"/>
  <c r="K270" i="2" s="1"/>
  <c r="N270" s="1"/>
  <c r="F29" i="4"/>
  <c r="G103" i="1"/>
  <c r="I103" s="1"/>
  <c r="G96"/>
  <c r="I96" s="1"/>
  <c r="F13" i="4"/>
  <c r="E13"/>
  <c r="E34"/>
  <c r="G755" i="1" l="1"/>
  <c r="I755" s="1"/>
  <c r="I762"/>
  <c r="I14" i="2"/>
  <c r="I11" i="1"/>
  <c r="K14" i="2" s="1"/>
  <c r="N14" s="1"/>
  <c r="I137" i="1"/>
  <c r="G133"/>
  <c r="G257"/>
  <c r="I258"/>
  <c r="G10"/>
  <c r="I270" i="2"/>
  <c r="G95" i="1"/>
  <c r="F23" i="2"/>
  <c r="F14" s="1"/>
  <c r="G490" i="1"/>
  <c r="I490" s="1"/>
  <c r="E28" i="4"/>
  <c r="F28"/>
  <c r="E23"/>
  <c r="D13"/>
  <c r="F27"/>
  <c r="E20"/>
  <c r="G9" i="1" l="1"/>
  <c r="I9" s="1"/>
  <c r="I10"/>
  <c r="I133"/>
  <c r="K140" i="2" s="1"/>
  <c r="N140" s="1"/>
  <c r="I140"/>
  <c r="I263"/>
  <c r="I257" i="1"/>
  <c r="K263" i="2" s="1"/>
  <c r="N263" s="1"/>
  <c r="G94" i="1"/>
  <c r="I94" s="1"/>
  <c r="K103" i="2" s="1"/>
  <c r="N103" s="1"/>
  <c r="I95" i="1"/>
  <c r="E12" i="4"/>
  <c r="F19"/>
  <c r="E47"/>
  <c r="G23" i="1" l="1"/>
  <c r="I23" s="1"/>
  <c r="I103" i="2"/>
  <c r="D12" i="4"/>
  <c r="L14" i="2"/>
  <c r="L808" i="1"/>
  <c r="E48" i="4"/>
  <c r="E44" s="1"/>
  <c r="F15"/>
  <c r="G745" i="2" l="1"/>
  <c r="G749" s="1"/>
  <c r="F48" i="4"/>
  <c r="E15"/>
  <c r="E43"/>
  <c r="E41" l="1"/>
  <c r="F43" l="1"/>
  <c r="F41" s="1"/>
  <c r="E35"/>
  <c r="D48" i="6" l="1"/>
  <c r="D147" s="1"/>
  <c r="G466" i="1"/>
  <c r="G465" l="1"/>
  <c r="I466"/>
  <c r="G459" l="1"/>
  <c r="I465"/>
  <c r="I459" l="1"/>
  <c r="K659" i="2" s="1"/>
  <c r="N659" s="1"/>
  <c r="I659"/>
  <c r="G380" i="1"/>
  <c r="D57" i="4"/>
  <c r="D56" s="1"/>
  <c r="H745" i="2"/>
  <c r="F35" i="4"/>
  <c r="F129" i="6"/>
  <c r="F128" s="1"/>
  <c r="F147" s="1"/>
  <c r="I380" i="1" l="1"/>
  <c r="G803"/>
  <c r="L739" i="2"/>
  <c r="I803" i="1" l="1"/>
  <c r="M808" s="1"/>
  <c r="K808"/>
  <c r="D55" i="4"/>
  <c r="D54" s="1"/>
  <c r="H749" i="2" l="1"/>
  <c r="D53" i="4"/>
  <c r="D52" l="1"/>
  <c r="D51" s="1"/>
  <c r="L722" i="2" l="1"/>
  <c r="D50" i="4" l="1"/>
  <c r="D49" s="1"/>
  <c r="L694" i="2" l="1"/>
  <c r="D48" i="4" l="1"/>
  <c r="F47" s="1"/>
  <c r="F44" s="1"/>
  <c r="D47" l="1"/>
  <c r="D46" l="1"/>
  <c r="D45" l="1"/>
  <c r="D44" s="1"/>
  <c r="L659" i="2" l="1"/>
  <c r="D43" i="4" l="1"/>
  <c r="D15" i="5" l="1"/>
  <c r="D14" l="1"/>
  <c r="D13" l="1"/>
  <c r="D12" l="1"/>
  <c r="D16" s="1"/>
  <c r="D42" i="4" l="1"/>
  <c r="D41" s="1"/>
  <c r="F40" s="1"/>
  <c r="E40" s="1"/>
  <c r="L591" i="2" l="1"/>
  <c r="L576" l="1"/>
  <c r="D40" i="4"/>
  <c r="F39" s="1"/>
  <c r="E39" s="1"/>
  <c r="L547" i="2" l="1"/>
  <c r="D39" i="4"/>
  <c r="F36" s="1"/>
  <c r="E36" l="1"/>
  <c r="E33" s="1"/>
  <c r="F33"/>
  <c r="D38"/>
  <c r="L544" i="2"/>
  <c r="D37" i="4" l="1"/>
  <c r="L540" i="2"/>
  <c r="L507" l="1"/>
  <c r="D36" i="4"/>
  <c r="L351" i="2" l="1"/>
  <c r="D35" i="4"/>
  <c r="L271" i="2" l="1"/>
  <c r="D34" i="4"/>
  <c r="D33" s="1"/>
  <c r="L270" i="2" l="1"/>
  <c r="D32" i="4" l="1"/>
  <c r="D31" s="1"/>
  <c r="L263" i="2" l="1"/>
  <c r="D30" i="4" l="1"/>
  <c r="D29" l="1"/>
  <c r="D28" s="1"/>
  <c r="L194" i="2" l="1"/>
  <c r="D27" i="4" l="1"/>
  <c r="D26" l="1"/>
  <c r="F25" s="1"/>
  <c r="E25" s="1"/>
  <c r="D24" l="1"/>
  <c r="F23" s="1"/>
  <c r="D25"/>
  <c r="F24" s="1"/>
  <c r="E24" s="1"/>
  <c r="E22" s="1"/>
  <c r="F22" l="1"/>
  <c r="D23"/>
  <c r="D22" s="1"/>
  <c r="F21" s="1"/>
  <c r="E21" s="1"/>
  <c r="E18" s="1"/>
  <c r="L140" i="2" l="1"/>
  <c r="D20" i="4" l="1"/>
  <c r="D21"/>
  <c r="F20" s="1"/>
  <c r="F18" s="1"/>
  <c r="D19" l="1"/>
  <c r="D18" s="1"/>
  <c r="F17" s="1"/>
  <c r="E17" l="1"/>
  <c r="L103" i="2"/>
  <c r="L70" l="1"/>
  <c r="D17" i="4"/>
  <c r="F16" s="1"/>
  <c r="E16" l="1"/>
  <c r="E10" s="1"/>
  <c r="E58" s="1"/>
  <c r="E62" s="1"/>
  <c r="F10"/>
  <c r="F58" s="1"/>
  <c r="F62" s="1"/>
  <c r="F52" i="2"/>
  <c r="L66"/>
  <c r="D16" i="4"/>
  <c r="D15" l="1"/>
  <c r="D10" s="1"/>
  <c r="D58" s="1"/>
  <c r="L52" i="2"/>
  <c r="F9"/>
  <c r="F745" s="1"/>
  <c r="F749" s="1"/>
  <c r="D62" i="4" l="1"/>
</calcChain>
</file>

<file path=xl/sharedStrings.xml><?xml version="1.0" encoding="utf-8"?>
<sst xmlns="http://schemas.openxmlformats.org/spreadsheetml/2006/main" count="6764" uniqueCount="947">
  <si>
    <t>(тыс.рублей)</t>
  </si>
  <si>
    <t>Наименование</t>
  </si>
  <si>
    <t>Ведомство</t>
  </si>
  <si>
    <t>Раздел Подраздел</t>
  </si>
  <si>
    <t>Целевая статья расходов</t>
  </si>
  <si>
    <t>Вид расходов</t>
  </si>
  <si>
    <t>1</t>
  </si>
  <si>
    <t>2</t>
  </si>
  <si>
    <t>3</t>
  </si>
  <si>
    <t>4</t>
  </si>
  <si>
    <t>5</t>
  </si>
  <si>
    <t>6</t>
  </si>
  <si>
    <t/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</si>
  <si>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</si>
  <si>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</si>
  <si>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</si>
  <si>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</si>
  <si>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</si>
  <si>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</si>
  <si>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</si>
  <si>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</si>
  <si>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</si>
  <si>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</si>
  <si>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</si>
  <si>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0113</t>
  </si>
  <si>
    <t>Социальное обеспечение и иные выплаты населению</t>
  </si>
  <si>
    <t>300</t>
  </si>
  <si>
    <t>ОБРАЗОВАНИЕ</t>
  </si>
  <si>
    <t>0700</t>
  </si>
  <si>
    <t>0104</t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</si>
  <si>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</si>
  <si>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</si>
  <si>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</si>
  <si>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1000</t>
  </si>
  <si>
    <t>Социальное обеспечение населения</t>
  </si>
  <si>
    <t>1003</t>
  </si>
  <si>
    <t>0300</t>
  </si>
  <si>
    <t>0309</t>
  </si>
  <si>
    <t>0310</t>
  </si>
  <si>
    <t>0502</t>
  </si>
  <si>
    <t>Дошкольное образование</t>
  </si>
  <si>
    <t>0701</t>
  </si>
  <si>
    <t>Общее образование</t>
  </si>
  <si>
    <t>0702</t>
  </si>
  <si>
    <t>КУЛЬТУРА, КИНЕМАТОГРАФИЯ</t>
  </si>
  <si>
    <t>0800</t>
  </si>
  <si>
    <t>Культура</t>
  </si>
  <si>
    <t>0801</t>
  </si>
  <si>
    <t>Охрана семьи и детства</t>
  </si>
  <si>
    <t>1004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</si>
  <si>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</si>
  <si>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</si>
  <si>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</si>
  <si>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</si>
  <si>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0314</t>
  </si>
  <si>
    <t>1202</t>
  </si>
  <si>
    <t>1001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</si>
  <si>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</si>
  <si>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</si>
  <si>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0111</t>
  </si>
  <si>
    <t>ИТОГО</t>
  </si>
  <si>
    <t>912</t>
  </si>
  <si>
    <t>913</t>
  </si>
  <si>
    <t>0804</t>
  </si>
  <si>
    <t>Социальные обеспечение и иные выплаты населению</t>
  </si>
  <si>
    <t>901</t>
  </si>
  <si>
    <t>902</t>
  </si>
  <si>
    <t>Резервный фонд</t>
  </si>
  <si>
    <t>Другие  общегосударрственные вопросы</t>
  </si>
  <si>
    <t>927</t>
  </si>
  <si>
    <t>Условно утвержденные расходы</t>
  </si>
  <si>
    <t>931</t>
  </si>
  <si>
    <t>Непрогаммые расходы органов местного самоуправления</t>
  </si>
  <si>
    <t>Непрограммые расходы органов местного самоуправления</t>
  </si>
  <si>
    <t>0500</t>
  </si>
  <si>
    <t>0600</t>
  </si>
  <si>
    <t>Непрограммные расходы органов местного самоуправления</t>
  </si>
  <si>
    <t>Непрограмные расходы органов местного самоуправления</t>
  </si>
  <si>
    <t>Непрограммные расходы  органов местного самоуправления</t>
  </si>
  <si>
    <t xml:space="preserve">100    </t>
  </si>
  <si>
    <t>Другие вопросы в области национальной безопасности и правоохранительной деятельности</t>
  </si>
  <si>
    <t xml:space="preserve">ОХРАНА  ОКРУЖАЮЩЕЙ СРЕДЫ </t>
  </si>
  <si>
    <t xml:space="preserve">Дошкольной образование </t>
  </si>
  <si>
    <t>Пенсионное обеспечение</t>
  </si>
  <si>
    <t>ФИЗИЧЕСКАЯ КУЛЬТУРА И СПОРТ</t>
  </si>
  <si>
    <t>1100</t>
  </si>
  <si>
    <t xml:space="preserve">СРЕДСТВА МАССОВОЙ ИНФОРМАЦИИ </t>
  </si>
  <si>
    <t>1200</t>
  </si>
  <si>
    <t xml:space="preserve">Периодическая печать и издательства </t>
  </si>
  <si>
    <t xml:space="preserve">СОЦИАЛЬНАЯ ПОЛИТИКА </t>
  </si>
  <si>
    <t>Другие вопросы в области национальной экономики</t>
  </si>
  <si>
    <t>0412</t>
  </si>
  <si>
    <t>0400</t>
  </si>
  <si>
    <t>Коммунальное хозяйство</t>
  </si>
  <si>
    <t>ЖИЛИЩНО-КОММУНАЛЬНОЕ ХОЗЯЙСТВО</t>
  </si>
  <si>
    <t>Обеспечение деятельности органов местного самоуправления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</si>
  <si>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</si>
  <si>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</si>
  <si>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культуры, кинемотографии</t>
  </si>
  <si>
    <t>Иные закупки товаров, работ, услуг для обеспечения государственных (муниципальных) нужд</t>
  </si>
  <si>
    <t>Уплата налогов и сборов</t>
  </si>
  <si>
    <t>Председатель контрольно-счетного органа</t>
  </si>
  <si>
    <t>Осуществление переданных полномочий сельских поселений</t>
  </si>
  <si>
    <t>Предоставление субсидий бюджетным учреждениям культуры</t>
  </si>
  <si>
    <t>Непрограммное направление обеспечения деятельности органов местного самоуправления</t>
  </si>
  <si>
    <t>Обеспечение деятельности казенных учреждений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</si>
  <si>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поселках.</t>
  </si>
  <si>
    <t>Организационное обеспечение деятельности территориальной административной комиссии</t>
  </si>
  <si>
    <t>Организация и осуществление деятельности органов опеки и попечительства</t>
  </si>
  <si>
    <t>Создание, использование функций и обеспечение деятельности комиссии по делам несовершеннолетних и защите их прав</t>
  </si>
  <si>
    <t>Хранение, комплектование, учет и использование архивных документов и архивных фондов, отнесенных к составу архивного фонда Волгоградской области</t>
  </si>
  <si>
    <t>Предоставление субсидии хозяйственно-эксплуатационной конторе</t>
  </si>
  <si>
    <t>Осуществление органами местного самоуправления полномочий Российской Федерации на государственную регистрацию актов гражданского состояния</t>
  </si>
  <si>
    <t>Мероприятия по гражданской обороне, предотвращению и ликвидации последствий чрезвычайных ситуаций</t>
  </si>
  <si>
    <t>Предупреждение и ликвидация болезней животных, их лечение, защита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</t>
  </si>
  <si>
    <t>Доплаты к пенсиям муниципальных служащих</t>
  </si>
  <si>
    <t>Предоставление субсидий гражданам на оплату жилья и коммунальных услуг</t>
  </si>
  <si>
    <t>Предоставление субсидии Редакции газеты "Ольховские вести"</t>
  </si>
  <si>
    <t>Осуществление образовательного процесса муниципальными дошкольными образовательными организациями</t>
  </si>
  <si>
    <t>Предоставление субсидии бюджетным учреждениям образования</t>
  </si>
  <si>
    <t>Осуществление образовательного процесса муниципальными образовательными организациями</t>
  </si>
  <si>
    <t>Организация питания детей из малоимущих семей и детей, находящихся на учете у фтизиатра, обучающихся в общеобразовательных организациях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</si>
  <si>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</si>
  <si>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</t>
  </si>
  <si>
    <t>Выплата компенсации части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</t>
  </si>
  <si>
    <t>Выплата пособий по опеке и попечительству</t>
  </si>
  <si>
    <t>Вознаграждение за труд приемных родителей (патронатных воспитателей) и предоставление им мер социальной поддержки</t>
  </si>
  <si>
    <t>Предоставление субсидии бюджетным учреждениям на осуществление переданных полномочий сельских поселений</t>
  </si>
  <si>
    <t xml:space="preserve">200 </t>
  </si>
  <si>
    <t>Иные межбюджетные трансферты бюджетам сельских поселений из бюджета муниципального района.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</si>
  <si>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</si>
  <si>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</si>
  <si>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</si>
  <si>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</si>
  <si>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500</t>
  </si>
  <si>
    <t xml:space="preserve">600 </t>
  </si>
  <si>
    <t>Членские взносы в Ассоциацию совета муниципальных образований</t>
  </si>
  <si>
    <t>90 0 00 00000</t>
  </si>
  <si>
    <t>90 0 00 00020</t>
  </si>
  <si>
    <t>99 0 00 00000</t>
  </si>
  <si>
    <t>90 0 00 70010</t>
  </si>
  <si>
    <t>90 0 00 70020</t>
  </si>
  <si>
    <t>90 0 00 70030</t>
  </si>
  <si>
    <t>90 0 00 70040</t>
  </si>
  <si>
    <t>99 0 00 00100</t>
  </si>
  <si>
    <t>99 0 00 80670</t>
  </si>
  <si>
    <t>09 0 00 00000</t>
  </si>
  <si>
    <t xml:space="preserve">09 0 00 20030 </t>
  </si>
  <si>
    <t>99 0 00 00080</t>
  </si>
  <si>
    <t>99 0 00 59320</t>
  </si>
  <si>
    <t>99 0 00 80020</t>
  </si>
  <si>
    <t>99 0 00 80140</t>
  </si>
  <si>
    <t>02 0 00 00000</t>
  </si>
  <si>
    <t>02 0 00 20030</t>
  </si>
  <si>
    <t>99 0 00 23020</t>
  </si>
  <si>
    <t>03 0 00 00000</t>
  </si>
  <si>
    <t>03 0 00 20030</t>
  </si>
  <si>
    <t>04 0 00 00000</t>
  </si>
  <si>
    <t>04 0 00 20030</t>
  </si>
  <si>
    <t>21 0 00 00000</t>
  </si>
  <si>
    <t>21 0 00 20030</t>
  </si>
  <si>
    <t>12 0 00 00000</t>
  </si>
  <si>
    <t>13 0 00 00000</t>
  </si>
  <si>
    <t>99 0 00 10010</t>
  </si>
  <si>
    <t>14 0 00 00000</t>
  </si>
  <si>
    <t>99 0 00 70530</t>
  </si>
  <si>
    <t>15 0 00 00000</t>
  </si>
  <si>
    <t>99 0 00 60080</t>
  </si>
  <si>
    <t>51 0 00 00000</t>
  </si>
  <si>
    <t>51 0 00 60050</t>
  </si>
  <si>
    <t>52 0 00 00000</t>
  </si>
  <si>
    <t>52 0 00 60050</t>
  </si>
  <si>
    <t>99 0 00 70450</t>
  </si>
  <si>
    <t>99 0 00 70350</t>
  </si>
  <si>
    <t>99 0 00 60090</t>
  </si>
  <si>
    <t>99 0 00 70360</t>
  </si>
  <si>
    <t>99 0 00 70370</t>
  </si>
  <si>
    <t>99 0 00 70420</t>
  </si>
  <si>
    <t>99 0 00 70430</t>
  </si>
  <si>
    <t>99 0 00 70340</t>
  </si>
  <si>
    <t>99 0 00 70400</t>
  </si>
  <si>
    <t>99 0 00 70410</t>
  </si>
  <si>
    <t>99 0 00 87000</t>
  </si>
  <si>
    <t>99 0 00 88000</t>
  </si>
  <si>
    <t>90 0 00 00050</t>
  </si>
  <si>
    <t>99 0 00 60400</t>
  </si>
  <si>
    <t>ОТДЕЛ ФИНАНСОВОГО ОБЕСПЕЧЕНИЯ АДМИНИСТРАЦИИ ОЛЬХОВСКОГО МУНИЦИПАЛЬНОГО РАЙОНА ВОЛГОГРАДСКОЙ ОБЛАСТИ</t>
  </si>
  <si>
    <t>КОНТРОЛЬНО-СЧЕТНЫЙ ОРГАН ОЛЬХОВСКОГО МУНИЦИПАЛЬНОГО РАЙОНА</t>
  </si>
  <si>
    <t>Осуществление образовательного процесса муниципальными дошкольными образовательными организациями (педагогические работники)</t>
  </si>
  <si>
    <t>Осуществление образовательного процесса муниципальными дошкольными образовательными организациями ( прочий персонал)</t>
  </si>
  <si>
    <t>Осуществление образовательного процесса муниципальными дошкольными образовательными организациями ( учебный процесс)</t>
  </si>
  <si>
    <t>ДЕФИЦИТ</t>
  </si>
  <si>
    <t>ПРОФИЦИТ</t>
  </si>
  <si>
    <t>Другие  общегосударственные вопросы</t>
  </si>
  <si>
    <t xml:space="preserve">Проведение мероприятий в сфере дополнительного образования детей, способствующих  повышению   финансовой грамотности </t>
  </si>
  <si>
    <t>Транспорт</t>
  </si>
  <si>
    <t>0408</t>
  </si>
  <si>
    <t>01 0 00 20030</t>
  </si>
  <si>
    <t>11 0 00 00000</t>
  </si>
  <si>
    <t>99 0 00 70353</t>
  </si>
  <si>
    <t>99 0 00 70351</t>
  </si>
  <si>
    <t>99 0 00 70352</t>
  </si>
  <si>
    <t>13 0 00 20030</t>
  </si>
  <si>
    <t>Дополнительное образование детей</t>
  </si>
  <si>
    <t>0703</t>
  </si>
  <si>
    <t>99 0 00 70361</t>
  </si>
  <si>
    <t>Осуществление образовательного процесса муниципальными общеобразовательными организациями (педагогические работники)</t>
  </si>
  <si>
    <t>99 0 00 70362</t>
  </si>
  <si>
    <t>Осуществление образовательного процесса муниципальными общеобразовательными организациями ( прочий персонал)</t>
  </si>
  <si>
    <t>99 0 00 70363</t>
  </si>
  <si>
    <t>Осуществление образовательного процесса муниципальными  общеобразовательными  организациями ( учебный процесс)</t>
  </si>
  <si>
    <t>99 0 00 20030</t>
  </si>
  <si>
    <t>99 0 00 00081</t>
  </si>
  <si>
    <t>Питание дошкольных групп за счет родительской платы</t>
  </si>
  <si>
    <t>0405</t>
  </si>
  <si>
    <t>Сельское хозяйство и рыболовство</t>
  </si>
  <si>
    <t xml:space="preserve">99 0 00 70270 </t>
  </si>
  <si>
    <t>99 0 00 71170</t>
  </si>
  <si>
    <t>Реализация дополнительных предпрофессиональных общеобразовательных программ в области искусства, развитие кадрового потенциала</t>
  </si>
  <si>
    <t>51 0 01 00000</t>
  </si>
  <si>
    <t xml:space="preserve">Содержание имущества и улучшение материально- технической базы учреждения </t>
  </si>
  <si>
    <t>51 0 02 00000</t>
  </si>
  <si>
    <t>Проведение творческих мероприятий</t>
  </si>
  <si>
    <t>51 0 03 00000</t>
  </si>
  <si>
    <t>Реализация культурно- досуговой деятельности, развитие кадрового потенциала</t>
  </si>
  <si>
    <t>52 0 01 00000</t>
  </si>
  <si>
    <t>52 0 02 00000</t>
  </si>
  <si>
    <t>52 0 03 00000</t>
  </si>
  <si>
    <t>51 0 01 60050</t>
  </si>
  <si>
    <t>51 0 02 60050</t>
  </si>
  <si>
    <t>51 0 03 60050</t>
  </si>
  <si>
    <t>52 0 01 60050</t>
  </si>
  <si>
    <t>52 0 02 60050</t>
  </si>
  <si>
    <t>52 0 03 60050</t>
  </si>
  <si>
    <t>01 0 01 20030</t>
  </si>
  <si>
    <t>Приобретение материальных резервов</t>
  </si>
  <si>
    <t>Обучение должностных лиц</t>
  </si>
  <si>
    <t>Приобретение печатной продукции</t>
  </si>
  <si>
    <t>02 0 01 00000</t>
  </si>
  <si>
    <t>02 0 04 00000</t>
  </si>
  <si>
    <t>02 0 05 00000</t>
  </si>
  <si>
    <t>03 0 01 00000</t>
  </si>
  <si>
    <t>03 0 02 00000</t>
  </si>
  <si>
    <t>Приобретение плакатов</t>
  </si>
  <si>
    <t>04 0 01 00000</t>
  </si>
  <si>
    <t>04 0 02 00000</t>
  </si>
  <si>
    <t>04 0 03 00000</t>
  </si>
  <si>
    <t>09 0 01 00000</t>
  </si>
  <si>
    <t>11 0 01 00000</t>
  </si>
  <si>
    <t>Проведение мероприятий по профилактике наркомании</t>
  </si>
  <si>
    <t>12 0 01 00000</t>
  </si>
  <si>
    <t>Проведение мероприятий районного, регионального, всероссийского уровня по гражданскому и патриотическому воспитания молодежи</t>
  </si>
  <si>
    <t>Организация отдыха и оздоровления детей и подростков , оказавшихся в трудной жизненной ситуации</t>
  </si>
  <si>
    <t>13 0 01 00000</t>
  </si>
  <si>
    <t>13 0 02 00000</t>
  </si>
  <si>
    <t>14 0 01 00000</t>
  </si>
  <si>
    <t>Приобретение плакатов антикоррупционной направленности</t>
  </si>
  <si>
    <t>21 0 01 00000</t>
  </si>
  <si>
    <t>26 0 00 00000</t>
  </si>
  <si>
    <t>Транспортное обеспечение населения автомобильным транспортом по муниципальным маршрутам регулярных перевозок по регулируемым тарифам на территории Ольховского муниципального района</t>
  </si>
  <si>
    <t>26 0 01 00000</t>
  </si>
  <si>
    <t>28 0 01 00000</t>
  </si>
  <si>
    <t>28 0 02 00000</t>
  </si>
  <si>
    <t>29 0 00 00000</t>
  </si>
  <si>
    <t>Обеспечение деятельности казенных учреждений (ХЭС)</t>
  </si>
  <si>
    <t>400</t>
  </si>
  <si>
    <t>02 0 01 20030</t>
  </si>
  <si>
    <t>02 0 04 20030</t>
  </si>
  <si>
    <t>02 0 05 20030</t>
  </si>
  <si>
    <t>03 0 01 20030</t>
  </si>
  <si>
    <t>03 0 02 20030</t>
  </si>
  <si>
    <t>04 0 01 20030</t>
  </si>
  <si>
    <t>04 0 02 20030</t>
  </si>
  <si>
    <t>04 0 03 20030</t>
  </si>
  <si>
    <t>21 0 01 20030</t>
  </si>
  <si>
    <t>11 0 01 20030</t>
  </si>
  <si>
    <t>22 0 00 20030</t>
  </si>
  <si>
    <t>22 0 01 20030</t>
  </si>
  <si>
    <t>26 0 00 20030</t>
  </si>
  <si>
    <t>26 0 01 20030</t>
  </si>
  <si>
    <t>12 0 01 20030</t>
  </si>
  <si>
    <t>13 0 01 20030</t>
  </si>
  <si>
    <t>13 0 02 20030</t>
  </si>
  <si>
    <t>28 0 00 20030</t>
  </si>
  <si>
    <t>28 0 01 20030</t>
  </si>
  <si>
    <t>28 0 02 20030</t>
  </si>
  <si>
    <t>Приобретение сплит-систем в рабочих кабинетах</t>
  </si>
  <si>
    <t>Приобретение печатной продукции по пропаганде охраны труда</t>
  </si>
  <si>
    <t>Организация и проведение аттестации рабочих мест</t>
  </si>
  <si>
    <t>Приобретение офисной мебели</t>
  </si>
  <si>
    <t>09 0 03 00000</t>
  </si>
  <si>
    <t>09 0 04 00000</t>
  </si>
  <si>
    <t>09 0 05 00000</t>
  </si>
  <si>
    <t>09 0 01 20030</t>
  </si>
  <si>
    <t>09 0 03 20030</t>
  </si>
  <si>
    <t>09 0 04 20030</t>
  </si>
  <si>
    <t>09 0 05 20030</t>
  </si>
  <si>
    <t>07 0 00 20030</t>
  </si>
  <si>
    <t>07 0 01 20030</t>
  </si>
  <si>
    <t>22 0 00 00000</t>
  </si>
  <si>
    <t>22 0 01 00000</t>
  </si>
  <si>
    <t>15 0 01 00000</t>
  </si>
  <si>
    <t>Улучшение материально-технической базы физкультурно-спортивного комплекса</t>
  </si>
  <si>
    <t>15 0 02 00000</t>
  </si>
  <si>
    <t>15 0 03 00000</t>
  </si>
  <si>
    <t>15 0 01 20030</t>
  </si>
  <si>
    <t>15 0 02 20030</t>
  </si>
  <si>
    <t>15 0 03 20030</t>
  </si>
  <si>
    <t>Проведение физкультурно-оздоровительных мероприятий с населением и подростками</t>
  </si>
  <si>
    <t>29 0 01 00000</t>
  </si>
  <si>
    <t>29 0 02 00000</t>
  </si>
  <si>
    <t>Связь и информатика</t>
  </si>
  <si>
    <t>0410</t>
  </si>
  <si>
    <t>29 0 00 20030</t>
  </si>
  <si>
    <t>29 0 01 20030</t>
  </si>
  <si>
    <t>29 0 02 20030</t>
  </si>
  <si>
    <t>99 0 00 60152</t>
  </si>
  <si>
    <t xml:space="preserve">912 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</si>
  <si>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</si>
  <si>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</si>
  <si>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 xml:space="preserve">Транспортные расходы на проведение физкультурно-оздоровительных мероприятий с населением и подростками </t>
  </si>
  <si>
    <t>Другие вопросы в области социальной политики</t>
  </si>
  <si>
    <t>1006</t>
  </si>
  <si>
    <t>Массовый спорт</t>
  </si>
  <si>
    <t>1102</t>
  </si>
  <si>
    <t>Субвенция на реализацию образовательных программ дошкольного образования муниципальными образовательными организациями</t>
  </si>
  <si>
    <t>99 0 00 71491</t>
  </si>
  <si>
    <t>99 0 00 71492</t>
  </si>
  <si>
    <t>99 0 00 71490</t>
  </si>
  <si>
    <t>99 0 00 71493</t>
  </si>
  <si>
    <t>Осуществление образовательного процесса муниципальными общеобразовательными организациями           ( прочий персонал)</t>
  </si>
  <si>
    <t>Осуществление образовательного процесса муниципальными  общеобразовательными  организациями           ( учебный процесс)</t>
  </si>
  <si>
    <t>Обеспечение горячим питанием учащихся за счет средств родительской платы</t>
  </si>
  <si>
    <t>99 0 00 00082</t>
  </si>
  <si>
    <t>Межбюджетные трансферты  на обеспечение сбалансированности местных бюджетов поселений (областные средства)</t>
  </si>
  <si>
    <t>99 0 0071150</t>
  </si>
  <si>
    <t>Иные межбюджетные трансферты сельским поселениям (районный бюджет)</t>
  </si>
  <si>
    <t>99 0 00 71150</t>
  </si>
  <si>
    <t>,</t>
  </si>
  <si>
    <t>Предоставление субсидии бюджетным учреждениям образования  Ольховского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</si>
  <si>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</si>
  <si>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</si>
  <si>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 Ольховского муниципального района</t>
  </si>
  <si>
    <t>90 0 00 00010</t>
  </si>
  <si>
    <t>2021 год</t>
  </si>
  <si>
    <t>30 0 00 0000</t>
  </si>
  <si>
    <t>31 0 00 00000</t>
  </si>
  <si>
    <t>Дополнительное образование детей в сфере культуры и искусства</t>
  </si>
  <si>
    <t>99 0 00 60051</t>
  </si>
  <si>
    <t>Основные направления развития культуры и Ольховского муниципального района</t>
  </si>
  <si>
    <t>99 0 00 60052</t>
  </si>
  <si>
    <t>Информационно-методическая поддержка "Развитие туризма в Ольховском муниципальном районе"</t>
  </si>
  <si>
    <t>30 0 02 20030</t>
  </si>
  <si>
    <t>31 0 02 20030</t>
  </si>
  <si>
    <t>31 0 01 20030</t>
  </si>
  <si>
    <t>31 0 01 60090</t>
  </si>
  <si>
    <t>31 0 02 60090</t>
  </si>
  <si>
    <t>31 0 01 00000</t>
  </si>
  <si>
    <t>31 0 02 00000</t>
  </si>
  <si>
    <t xml:space="preserve">           </t>
  </si>
  <si>
    <t>Функционирование Правительства Р.Ф., высших исполнительных  органов государственной власти субъектов Р.Ф., местных администраций</t>
  </si>
  <si>
    <t xml:space="preserve"> 30 0 02 00000</t>
  </si>
  <si>
    <t>Проведение работ по ремонту учреждений образования</t>
  </si>
  <si>
    <t>0605</t>
  </si>
  <si>
    <t>Другие вопросы в области охраны окружающей среды</t>
  </si>
  <si>
    <t>Осуществление образовательного процесса муниципальными общеобразовательными организациями      ( прочий персонал)</t>
  </si>
  <si>
    <t>ОТДЕЛ КУЛЬТУРЫ, СПОРТА И СОЦИАЛЬНОЙ ПОЛИТИКИ АДМИНИСТРАЦИИ ОЛЬХОВСКОГО МУНИЦИПАЛЬНОГО РАЙОНА</t>
  </si>
  <si>
    <t>ОТДЕЛ ПО ОБРАЗОВАНИЮ И МОЛОДЕЖНОЙ ПОЛИТИКИ  АДМИНИСТРАЦИИ ОЛЬХОВСКОГО МУНИЦИПАЛЬНОГО РАЙОНА ВОЛГОГРАДСКОЙ ОБЛАСТИ</t>
  </si>
  <si>
    <t>Осуществление образовательного процесса муниципальными общеобразовательными организациями       ( прочий персонал)</t>
  </si>
  <si>
    <t>Осуществление образовательного процесса муниципальными  общеобразовательными  организациями      ( учебный процесс)</t>
  </si>
  <si>
    <t>АДМИНИСТРАЦИЯ ОЛЬХОВСКОГО МУНИЦИПАЛЬНОГО РАЙОНА ВОЛГОГРАДСКОЙ ОБЛАСТИ</t>
  </si>
  <si>
    <t>Субсидия на компенсацию (возмещение) выпадающих доходов ресурсоснабжающих организаций, связанных с приминением ими социальных тарифов (цен) на коммунальные ресурсы (услуги) и услуги технического водоснабжения, поставляемого населению</t>
  </si>
  <si>
    <t>Субсидии некомерческим организациям(за исключением государственные (муниципальных) учреждений)</t>
  </si>
  <si>
    <t>99 0 00 70510</t>
  </si>
  <si>
    <t>Разработка проектно-сметной документации на строительство объекта пункта приема жидких бытовых отходов в с. Ольховка Ольховского муниципального района</t>
  </si>
  <si>
    <t>99 0 00 20500</t>
  </si>
  <si>
    <t>Осуществление образовательного процесса муниципальными  общеобразовательными  организациями    ( учебный процесс)</t>
  </si>
  <si>
    <t>0409</t>
  </si>
  <si>
    <t>0503</t>
  </si>
  <si>
    <t xml:space="preserve">0503 </t>
  </si>
  <si>
    <t>99 0 00 25070</t>
  </si>
  <si>
    <t>Дорожное хозяйство (дорожные фонды)</t>
  </si>
  <si>
    <t>Благоустройство</t>
  </si>
  <si>
    <t>Содержание мест захоронения на территории Ольховского муниципального района</t>
  </si>
  <si>
    <t>Межбюджетные трансферты</t>
  </si>
  <si>
    <t>Исполнение судебных актов казенными учреждениями</t>
  </si>
  <si>
    <t>99 0 00 80870</t>
  </si>
  <si>
    <t>Капитальные вложения в объекты государственной (муниципальной) собственности (районный бюджет)</t>
  </si>
  <si>
    <t>Капитальные вложения в объекты государственной (муниципальной) собственности (областной бюджет)</t>
  </si>
  <si>
    <t xml:space="preserve">99 0 00 80870 </t>
  </si>
  <si>
    <t>Обеспечение деятельности казенных учреждений (Администрация)</t>
  </si>
  <si>
    <t xml:space="preserve">Выдача молодым семьм в установленном порядке свидетельств о праве на приобретение жилья </t>
  </si>
  <si>
    <t>Субсидии организациям</t>
  </si>
  <si>
    <t>99 0 00 60030</t>
  </si>
  <si>
    <t xml:space="preserve">Предоставление субсидии бюджетным , автономным учреждениям и иным некоммерческим организациям </t>
  </si>
  <si>
    <t>14 0 01 L4970</t>
  </si>
  <si>
    <t>Питание за счет местного бюджета в садах</t>
  </si>
  <si>
    <t>99 0 00 00083</t>
  </si>
  <si>
    <t>Иные межбюджетные трансферты (районный бюджет)</t>
  </si>
  <si>
    <t>07 0 00 00000</t>
  </si>
  <si>
    <t>14 0 00 L4970</t>
  </si>
  <si>
    <t>Обеспечение жильем молодых семей за счет средств районного и областного бюджета</t>
  </si>
  <si>
    <t>Социальное обеспечение и иные выплаты населению (районный бюджет)</t>
  </si>
  <si>
    <t>Социальные обеспечение и иные выплаты населению (районный бюджет)</t>
  </si>
  <si>
    <t>30 0 00 00000</t>
  </si>
  <si>
    <t>Капитальные вложения в объекты государственной (муниципальной) собственности (федеральный бюджет)</t>
  </si>
  <si>
    <t>Субсидия на строительство объекта "Канализационная насосная станция" расположенная в с.Ольховка</t>
  </si>
  <si>
    <t>99 0 00 60060</t>
  </si>
  <si>
    <t>Субсидия на иные цели по обеспечению механизма персонифицированного финансирования дополнительного образования</t>
  </si>
  <si>
    <t>32 0 01 S0650</t>
  </si>
  <si>
    <t xml:space="preserve">33 0 P2 52320 </t>
  </si>
  <si>
    <t>33 0 P2 71750</t>
  </si>
  <si>
    <t>Муниципальная программа "Создание мест для осуществления присмотра и ухода за детьми дошкольного возраста в муниципальных образовательных учреждениях Ольховского муниципального района Волгоградской области, реализующих программы дошкольного образования на 2019-2021 годы"</t>
  </si>
  <si>
    <t>Строительство объекта "Дошкольное образовательное учреждение в с.Зензеватка Ольховского муниципального района Волгоградской области" на 120 мест</t>
  </si>
  <si>
    <t>32 0 00 00000</t>
  </si>
  <si>
    <t>33 0 00 00000</t>
  </si>
  <si>
    <t>Муниципальная программа " Развитие системы водоотведения Ольховского муниципального района Волгоградской области на 2019-2021 годы"</t>
  </si>
  <si>
    <t>32 0 01 00000</t>
  </si>
  <si>
    <t xml:space="preserve">Глава Ольховского муниципального района                                                         А.В.Солонин </t>
  </si>
  <si>
    <t>2022 год</t>
  </si>
  <si>
    <t>Обеспечение деятельности казенных учреждений МЦ "Максимум"</t>
  </si>
  <si>
    <t>99 0 00 50030</t>
  </si>
  <si>
    <t>Иные межбюджетные трансферты</t>
  </si>
  <si>
    <t>34 0 00 00000</t>
  </si>
  <si>
    <t>Обеспечение деятельности по оказанию библиотечных услуг</t>
  </si>
  <si>
    <t>34 0 01 00000</t>
  </si>
  <si>
    <t>34 0 01 00080</t>
  </si>
  <si>
    <t>34 0 01 20030</t>
  </si>
  <si>
    <t>34 0 01 80140</t>
  </si>
  <si>
    <t>34 0 02 00000</t>
  </si>
  <si>
    <t>34 0 02 20030</t>
  </si>
  <si>
    <t>34 0 03 00000</t>
  </si>
  <si>
    <t>34 0 03 20030</t>
  </si>
  <si>
    <t>Создание модельных библиотек</t>
  </si>
  <si>
    <t>Обеспечение актуализации сохранности библиотечных фондов, комплектование библиотек</t>
  </si>
  <si>
    <t>11 0 02 00000</t>
  </si>
  <si>
    <t>11 0 03 00000</t>
  </si>
  <si>
    <t>Муниципальная программа "Обеспечение безопасности дорожного движения в Ольховском муниципальном районе Волгоградской области на 2020-2022 годы"</t>
  </si>
  <si>
    <t>Муниципальная программа "Противодействие коррупции в Ольховском муниципальном районе на 2020-2022 годы"</t>
  </si>
  <si>
    <t>Муниципальная программа" Улучшение условий  и охраны труда в Ольховском муниципальном районе на 2020-2022 годы"</t>
  </si>
  <si>
    <t>Муниципальная программа  "Развитие и поддержка малого и среднего предпринимательства в Ольховском муниципальном районе Волгоградской области на 2020-2022 годы"</t>
  </si>
  <si>
    <t>Муниципальная программа "Охрана окружающей среды и рациональное природопользование на территории Ольховского муниципального района Волгоградской области на 2020-2022 годы"</t>
  </si>
  <si>
    <t>11 0 02 20030</t>
  </si>
  <si>
    <t>11 0 03 20030</t>
  </si>
  <si>
    <t>Муниципальная программа "Развитие библиотечного дела на территории Ольховского муниципального района на 2020-2022 гг."</t>
  </si>
  <si>
    <t>30 0 02 00000</t>
  </si>
  <si>
    <t>25 0 00 00000</t>
  </si>
  <si>
    <t>25 0 01 20030</t>
  </si>
  <si>
    <t>25 0 02 20030</t>
  </si>
  <si>
    <t>Популяризация предпринимательской деятельности и вовлечение молодежи в сферу предпринимательства</t>
  </si>
  <si>
    <t>Утилизация отходов первого класса опасности</t>
  </si>
  <si>
    <t>Повышение экологической культуры грамотности населения Ольховского муниципального района</t>
  </si>
  <si>
    <t>07 0 02 20030</t>
  </si>
  <si>
    <t>07 0 03 20030</t>
  </si>
  <si>
    <t>Проведение работ по благоустройству и содержанию прилегающих территорий учреждений социальной сферы</t>
  </si>
  <si>
    <t>33 0 01 00000</t>
  </si>
  <si>
    <t>33 0 01 20030</t>
  </si>
  <si>
    <t>09 0 06 20030</t>
  </si>
  <si>
    <t>Обучение по охране труда</t>
  </si>
  <si>
    <t>Проведение работ по пропитке деревянных конструкций огнезащитным составом</t>
  </si>
  <si>
    <t>Приобретение сертифицированных противопожарных дверей</t>
  </si>
  <si>
    <t>Проведение работ по испытанию пожарных лестниц</t>
  </si>
  <si>
    <t>Приобретение датчиков ИП212-141 автоматической пожарной сигнализации</t>
  </si>
  <si>
    <t>Установка автоматической пожарной сигнализации в котельных помещениях</t>
  </si>
  <si>
    <t>Изготовление проектной документации водоснабжения</t>
  </si>
  <si>
    <t>03 0 03 20030</t>
  </si>
  <si>
    <t>03 0 04 20030</t>
  </si>
  <si>
    <t>03 0 05 20030</t>
  </si>
  <si>
    <t>03 0 06 20030</t>
  </si>
  <si>
    <t>Повышение антитеррористической безопастности образовательных учреждений</t>
  </si>
  <si>
    <t>Повышение эффективности деятельности общественных организаций правоохранительной направленности</t>
  </si>
  <si>
    <t>Создание дополнительных мест в существующих дошкольных образовательных организациях для осуществления присмотра и ухода за детьми от 2-х месяцев до 3-х лет путем рационального использования имеющихся площадей</t>
  </si>
  <si>
    <t>25 0 01 00000</t>
  </si>
  <si>
    <t>25 0 02 00000</t>
  </si>
  <si>
    <t>09 0 06 00000</t>
  </si>
  <si>
    <t>03 0 03 00000</t>
  </si>
  <si>
    <t>03 0 04 00000</t>
  </si>
  <si>
    <t>03 0 05 00000</t>
  </si>
  <si>
    <t>03 0 06 00000</t>
  </si>
  <si>
    <t>01 0 01 00000</t>
  </si>
  <si>
    <t>07 0 01 00000</t>
  </si>
  <si>
    <t>07 0 02 00000</t>
  </si>
  <si>
    <t>07 0 03 00000</t>
  </si>
  <si>
    <t>33 0 P2 00000</t>
  </si>
  <si>
    <t>Перечень</t>
  </si>
  <si>
    <t xml:space="preserve">Наименование </t>
  </si>
  <si>
    <t xml:space="preserve">Администрация   Ольховского  муниципального района </t>
  </si>
  <si>
    <t>Всего по перечню:</t>
  </si>
  <si>
    <t>х</t>
  </si>
  <si>
    <t>План на 2022 год</t>
  </si>
  <si>
    <r>
      <t xml:space="preserve">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(тыс. рублей)</t>
    </r>
  </si>
  <si>
    <t>99 0 00 45030</t>
  </si>
  <si>
    <t>Строительство, модернизация, ремонт и содержание автомобильных дорог общего пользования Ольховского муниципального района</t>
  </si>
  <si>
    <t>Муниципальная программа"Ремонт зданий и благоустройство прилегающих территорий общеобразовательных учреждений Ольховского муниципального района Волгоградской области на  период 2019-2021 годы"</t>
  </si>
  <si>
    <t>Муниципальная программа "Обеспечение жильем молодых семей по Ольховскому муниципальному району на 2019-2021 гг"</t>
  </si>
  <si>
    <t>Муниципальная программа "Развитие системы водоотведения Ольховского муниципального района Волгоградской области на 2019-2021 годы"</t>
  </si>
  <si>
    <t>Муниципальная программа "Профилактика правонарушений, терроризма и эктремизма на территории Ольховского муниципального района на 2020-2022 гг."</t>
  </si>
  <si>
    <t>99 0 00 20153</t>
  </si>
  <si>
    <t>Строительство канализационной насосной станции, расположенной в Ольховском районе с.Ольховка, ул.Базарная и очистные сооружения канализации, расположенные в Ольховском районе с.Ольховка ул. Октябрьская, 31 в Волгоградской области</t>
  </si>
  <si>
    <t>99 0 00 00084</t>
  </si>
  <si>
    <t>99 0 00 00085</t>
  </si>
  <si>
    <t>99 0 00 00086</t>
  </si>
  <si>
    <t>99 0 00 20070</t>
  </si>
  <si>
    <t>99 0 00 45021</t>
  </si>
  <si>
    <t>Закупка товаров, работ и услуг для государственных (муниципальных) нужд (районный бюджет)</t>
  </si>
  <si>
    <t>33 0 03 20030</t>
  </si>
  <si>
    <t>33 0 03 00000</t>
  </si>
  <si>
    <t>32 0 02 40150</t>
  </si>
  <si>
    <t>32 0 02 00000</t>
  </si>
  <si>
    <t>Закупка товаров, работ и услуг для государственных (муниципальных) нужд (областной бюджет)</t>
  </si>
  <si>
    <t>Обеспечение бесплатным двухразовым горячим питанием обучающихся с ограниченными возможностями здоровья</t>
  </si>
  <si>
    <t>Компенсационные выплаты на питание детям из многодетных семей, обучающимся в 1-4 классах общеобразовательных организаций за счет  средств муниципального бюджета</t>
  </si>
  <si>
    <t>Софинансирование бесплатного питания воспитанников образовательных организаций, реализующих образовательную программу дошкольного образования на территории Ольховского муниципального района</t>
  </si>
  <si>
    <t>Субсидия на иные цели по обеспечению механизма персонифицированного финансирования</t>
  </si>
  <si>
    <t>Мероприятия по обеспечению механизма персонифицированного финансирования</t>
  </si>
  <si>
    <t>Проектирование пункта приема жидких бытовых отходов в с.Ольховка Ольховского района Волгоградской области</t>
  </si>
  <si>
    <t>Капитальные вложения в объекты государственной (муниципальной) собственности (районный бюджет) приобретение автобуса и строительство очистных сооружений</t>
  </si>
  <si>
    <t xml:space="preserve">33 0 03 20030 </t>
  </si>
  <si>
    <t>Ремонт зданий и благоустройтво прилегающих территорий образовательных учреждений Ольховского муниципального района на 2019-2021 годы</t>
  </si>
  <si>
    <t>Капитальные вложения в объекты государственной (муниципальной) собственности (районный бюджет) строительный контроль по КНС</t>
  </si>
  <si>
    <t>99 0 00 47010</t>
  </si>
  <si>
    <t>29 0 05 20030</t>
  </si>
  <si>
    <t>29 0 05 00000</t>
  </si>
  <si>
    <t xml:space="preserve">Закупка товаров, работ и услуг для государственных (муниципальных) нужд </t>
  </si>
  <si>
    <t>Подключение (технологическое присоединение) объекта капитального строительства "Дошкольное образовательное учреждение" к электрическим сетям</t>
  </si>
  <si>
    <t>Субвенция на компенсацию (возмещение) выпадающих доходов ресурсоснабжающих организаций, связанных с приминением ими социальных тарифов (цен) на коммунальные ресурсы (услуги) и услуги технического водоснабжения, поставляемого населению</t>
  </si>
  <si>
    <t>35 0 00 00000</t>
  </si>
  <si>
    <t>1300</t>
  </si>
  <si>
    <t>1301</t>
  </si>
  <si>
    <t>99 0 00 81350</t>
  </si>
  <si>
    <t>700</t>
  </si>
  <si>
    <t>35 0 02 00000</t>
  </si>
  <si>
    <t>35 0 02 L5768</t>
  </si>
  <si>
    <t>99 0 00 54690</t>
  </si>
  <si>
    <t>Депутаты представительного органа</t>
  </si>
  <si>
    <t>90 0 00 00040</t>
  </si>
  <si>
    <t>Обслуживание государственного внутреннего и муниципального долга</t>
  </si>
  <si>
    <t>Обслуживание муниципального долга</t>
  </si>
  <si>
    <t>Обслуживание государственного (муниципального) долга</t>
  </si>
  <si>
    <t>Проведение Всероссийской переписи населения 2020 года</t>
  </si>
  <si>
    <t>Муниципальная программа "Комплексное развитие сельских территорий"</t>
  </si>
  <si>
    <t>Приобретение автобуса для Ольховского районного дома культуры</t>
  </si>
  <si>
    <t xml:space="preserve">Капитальные вложения в объекты государственной (муниципальной) собственности </t>
  </si>
  <si>
    <t>34 0 01 00100</t>
  </si>
  <si>
    <t xml:space="preserve">99 0 00 45021 </t>
  </si>
  <si>
    <t>31 0 Е2 50970</t>
  </si>
  <si>
    <t>31 0 Е2 00000</t>
  </si>
  <si>
    <t>33 0 P2 71790</t>
  </si>
  <si>
    <t>31 0 01 S1850</t>
  </si>
  <si>
    <t>31 0 01 S1840</t>
  </si>
  <si>
    <t>31 0 02 S1890</t>
  </si>
  <si>
    <t>99 0 00 S0390</t>
  </si>
  <si>
    <t>31 0 02 52280</t>
  </si>
  <si>
    <t xml:space="preserve">Организация отдыха и оздоровление детей в каникулярный период в лагерях дневного пребывания на базе муниципальных образовательных организаций Волгоградской области </t>
  </si>
  <si>
    <t>Предоставление субсидий бюджетным, автономным учреждениям и иным некоммерческим организациям (районный бюджет)</t>
  </si>
  <si>
    <t>Приобретение оборудования и оснащение образовательных организаций, реализующих программы дошкольного образования, в которых планируется открытие мест для детей в возрасте от 1,5 до 3 лет</t>
  </si>
  <si>
    <t>Ремонт зданий и благоустройтво прилегающих территорий образовательных учреждений Ольховского муниципального района на 2019-2021 годы (линейки)</t>
  </si>
  <si>
    <t>Ремонт зданий и благоустройтво прилегающих территорий образовательных учреждений Ольховского муниципального района на 2019-2021 годы (осветительные приборы)</t>
  </si>
  <si>
    <t>Ремонт зданий и благоустройтво прилегающих территорий образовательных учреждений Ольховского муниципального района на 2019-2021 годы (ремонт кровли)</t>
  </si>
  <si>
    <t>Предоставление субсидий бюджетным, автономным учреждениям и иным некоммерческим организациям (областной бюджет)</t>
  </si>
  <si>
    <t>Замена оконных блоков (районный бюджет)</t>
  </si>
  <si>
    <t>Закупка товаров, работ и услуг для государственных (муниципальных) нужд(районный бюджет)</t>
  </si>
  <si>
    <t>31 0 01 S0980</t>
  </si>
  <si>
    <t>Ремонт зданий и благоустройтво прилегающих территорий образовательных учреждений Ольховского муниципального района на 2019-2021 годы (замена оконных блоков)</t>
  </si>
  <si>
    <t>Закупка товаров, работ и услуг для государственных (муниципальных) нужд (областной бюджет) замена оконных блоков</t>
  </si>
  <si>
    <t>25 0 03 S0650</t>
  </si>
  <si>
    <t>Пособия, компенсации и иные социальные выплаты гражданам, кроме публичных нормативных обязательств</t>
  </si>
  <si>
    <t>99 0 00 60040</t>
  </si>
  <si>
    <t>99 0 00 20480</t>
  </si>
  <si>
    <t>Проектирование по планированию территорий сельских поселений</t>
  </si>
  <si>
    <t>МБУ ДОЛ "Кузнечик</t>
  </si>
  <si>
    <t>Предоставление субсидии МБУ ДОЛ "Кузнечик"</t>
  </si>
  <si>
    <t>Предоставление субсидий бюджетным, автономным учреждениям и иным некоммерческим организациям  (районный бюджет)</t>
  </si>
  <si>
    <t xml:space="preserve">Оценка </t>
  </si>
  <si>
    <t>Оценка начальной годовой арендной платы на право заключения договора аренды земельных участков</t>
  </si>
  <si>
    <t>99 0 00 20330</t>
  </si>
  <si>
    <t>Иные межбюджетные трансферты сельским поселениям софинансирование(районный бюджет)</t>
  </si>
  <si>
    <t>99 0 00 S1150</t>
  </si>
  <si>
    <t>Председатель Ольховской районной Думы                                                            Н.А.Никифоров</t>
  </si>
  <si>
    <t>Уплата иных платежей</t>
  </si>
  <si>
    <t>Мероприятия по благоустройству сельских территорий</t>
  </si>
  <si>
    <t>35 0 03 00000</t>
  </si>
  <si>
    <t>99 0 00 S1740</t>
  </si>
  <si>
    <t>Субсидия на реализацию мероприятий в сфере дорожной деятельности</t>
  </si>
  <si>
    <t>Субсидия на реализацию мероприятий связанных с организацией освещения улично-дорожной сети населенных пунктов</t>
  </si>
  <si>
    <t>99 0 00 S1930</t>
  </si>
  <si>
    <t>Иные субсидии некоммерческим организациям (за исключением государственных (муниципальных) учреждений) (районный бюджет)</t>
  </si>
  <si>
    <t>Иные субсидии некоммерческим организациям (за исключением государственных (муниципальных) учреждений) (областной бюджет)</t>
  </si>
  <si>
    <t>99 0 00 S0840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</si>
  <si>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</t>
  </si>
  <si>
    <t xml:space="preserve">Выдача молодым семьям в установленном порядке свидетельств о праве на приобретение жилья </t>
  </si>
  <si>
    <t>29 0 06 20030</t>
  </si>
  <si>
    <t>29 0 06 00000</t>
  </si>
  <si>
    <t>Социальные обеспечение и иные выплаты населению (областной бюджет)</t>
  </si>
  <si>
    <t>Социальное обеспечение и иные выплаты населению (областной бюджет)</t>
  </si>
  <si>
    <t>99 0 00 53030</t>
  </si>
  <si>
    <t>Заработная плата педагогическим работникам - классное руководство</t>
  </si>
  <si>
    <t>Оплата независимой оценки в сфере оказания услуг в учреждениях культуры за счет средств переданных полномочий сельскими поселениями</t>
  </si>
  <si>
    <t>31 0 05 00000</t>
  </si>
  <si>
    <t>31 0 05 S1770</t>
  </si>
  <si>
    <t>Благоустройство пешеходной зоны и территории, прилегающей к спортивной площадке и к школе в с.Ольховка, в рамках реализации проектов местных инициатив населения Волгоградской области</t>
  </si>
  <si>
    <t>Субсидии на реализацию мероприятий местных инициатив населения</t>
  </si>
  <si>
    <t>Субвенция на предоставление государственных социальных гарантий молодым специалистам, работающим в облатных государственных  и муниципальных учреждениях, расположенных в сельской местности</t>
  </si>
  <si>
    <t>99 0 00 70870</t>
  </si>
  <si>
    <t>Создание мест для осуществления присмотра и ухода за детьми дошкольного возраста в муниципальных образовательных учреждениях Ольховского муниципального района Волгоградской области, реализующих программы дошкольного образования на 2019-2021годы</t>
  </si>
  <si>
    <t>Создание мест для осуществления присмотра и ухода за детьми дошкольного возраста в муниципальных образовательных учреждениях Ольховского муниципального района Волгоградской области, реализующих программы дошкольного образования на 2019-2021 годы</t>
  </si>
  <si>
    <t>36 0 00 00000</t>
  </si>
  <si>
    <t>36 0 01 00000</t>
  </si>
  <si>
    <t>36 0 01 53030</t>
  </si>
  <si>
    <t>Ежемясячное денежное вознаграждение за классное руководство педагогическим работникам</t>
  </si>
  <si>
    <t>Ежемясячные денежные вознаграждения за классное руководство педагогическим работникам муниципальных общеобразовательных организаций</t>
  </si>
  <si>
    <t>99 0 00 20450</t>
  </si>
  <si>
    <t>Проектирование дошкольных образовательных учреждений</t>
  </si>
  <si>
    <t>Выполнение работ по привязке проектной и рабочей документации по объекту " Средняя общеобразовательная школа на 800 учащихся с.Ольховка  Ольховского района Волгоградской области"</t>
  </si>
  <si>
    <t>99 0 00 20510</t>
  </si>
  <si>
    <t>Выполнение работ по проведению государственной экспертизы проектной документации и достоверности сметной стоимомти капитального строительства по объекту " Средняя общеобразовательная школа на 800 учащихся с.Ольховка  Ольховского района Волгоградской области"</t>
  </si>
  <si>
    <t>99 0 00 20520</t>
  </si>
  <si>
    <t>99 0 00 S1170</t>
  </si>
  <si>
    <t>Проведение мероприятий в сфере дополнительного образования детей, способствующих  повышению   финансовой грамотности (районный бюджет)</t>
  </si>
  <si>
    <t>25 0 04 00000</t>
  </si>
  <si>
    <t>Разработка проектно-сметной документации по объекту "Реконструкция системы водоснабжения в с.Ольховка Ольховского района Волгоградской области"</t>
  </si>
  <si>
    <t>25 0 04 20030</t>
  </si>
  <si>
    <t>99 0 00 5930F</t>
  </si>
  <si>
    <t xml:space="preserve">Субвенция на осуществление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 </t>
  </si>
  <si>
    <t>Муниципальная программа "Организация питания обучающихся муниципальных общеобразовательных организаций Ольховского муниципального района в 2020-2022 годах"</t>
  </si>
  <si>
    <t>37 0 00 00000</t>
  </si>
  <si>
    <t>Организация бесплатного горячего питания обучающимся 1-4 классов</t>
  </si>
  <si>
    <t>Предоставление частичной компенсации стоимости горячего питания обучающимся 5-11 классов</t>
  </si>
  <si>
    <t>37 0 01 00000</t>
  </si>
  <si>
    <t>37 0 02 00000</t>
  </si>
  <si>
    <t>37 0 02 00080</t>
  </si>
  <si>
    <t>37 0 02 60090</t>
  </si>
  <si>
    <t>Закупка товаров, работ и услуг для государственных (муниципальных) нужд  (районные)</t>
  </si>
  <si>
    <t>Закупка товаров, работ и услуг для государственных (муниципальных) нужд  (областные)</t>
  </si>
  <si>
    <t>37 0 01 L3040</t>
  </si>
  <si>
    <t>37 0 02 70370</t>
  </si>
  <si>
    <t>8.   Настоящее решение вступает в силу с момента официального опубликования.</t>
  </si>
  <si>
    <t>37 0 01 00086</t>
  </si>
  <si>
    <t>37 0 02 00086</t>
  </si>
  <si>
    <t>32 0 01 S1880</t>
  </si>
  <si>
    <t>Выполнение работ по проведению государственной экспертизы проектной документации и достоверности сметной стоимости капитального строительства по объекту " Средняя общеобразовательная школа на 800 учащихся с.Ольховка  Ольховского района Волгоградской области"</t>
  </si>
  <si>
    <t>Мероприятия по осуществлению внутрирайонных пассажирских перевозок</t>
  </si>
  <si>
    <t>99 0 00 20820</t>
  </si>
  <si>
    <t>2023 год</t>
  </si>
  <si>
    <t>1204</t>
  </si>
  <si>
    <t>99 0 00 20060</t>
  </si>
  <si>
    <t>02 0 02 20030</t>
  </si>
  <si>
    <t>29 0 03 20030</t>
  </si>
  <si>
    <t>29 0 04 20030</t>
  </si>
  <si>
    <t>28 0 03 20030</t>
  </si>
  <si>
    <t>25 0 05 20030</t>
  </si>
  <si>
    <t>25 0 06 20030</t>
  </si>
  <si>
    <t>25 0 07 20030</t>
  </si>
  <si>
    <t>35 0 03 45080</t>
  </si>
  <si>
    <t>35 0 04 45040</t>
  </si>
  <si>
    <t>35 0 05 45050</t>
  </si>
  <si>
    <t>Переданные полномочия по культуре</t>
  </si>
  <si>
    <t>35 0 06 46030</t>
  </si>
  <si>
    <t>35 0  07 47050</t>
  </si>
  <si>
    <t>35 0 08 47040</t>
  </si>
  <si>
    <t>35 0 09 46040</t>
  </si>
  <si>
    <t>35 0 10 45070</t>
  </si>
  <si>
    <t>35 0 11 45060</t>
  </si>
  <si>
    <t>35 0 12 47060</t>
  </si>
  <si>
    <t>35 0 13 47070</t>
  </si>
  <si>
    <t>35 0 14 20030</t>
  </si>
  <si>
    <t>35 0 15 20030</t>
  </si>
  <si>
    <t>39 0 02 20490</t>
  </si>
  <si>
    <t>39 0 00 00000</t>
  </si>
  <si>
    <t>0705</t>
  </si>
  <si>
    <t>38 0 00 00000</t>
  </si>
  <si>
    <t>38 0 01 20030</t>
  </si>
  <si>
    <t>38 0 04 20030</t>
  </si>
  <si>
    <t>0706</t>
  </si>
  <si>
    <t>38 0 02 30010</t>
  </si>
  <si>
    <t>38 0 03 30010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</si>
  <si>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(областной бюджет)</t>
  </si>
  <si>
    <t>Закупка товаров, работ и услуг для государственных (муниципальных) нужд (областной бюджет0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</si>
  <si>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фондами(областной бюджет</t>
  </si>
  <si>
    <t>39 0 01 20480</t>
  </si>
  <si>
    <t>39 0 03 20420</t>
  </si>
  <si>
    <t>35 0 04 00000</t>
  </si>
  <si>
    <t>35 0 05 00000</t>
  </si>
  <si>
    <t>35 0 09 00000</t>
  </si>
  <si>
    <t>35 0 10 00000</t>
  </si>
  <si>
    <t>35 0 11 00000</t>
  </si>
  <si>
    <t>25 0 07 00000</t>
  </si>
  <si>
    <t>25 0 06 00000</t>
  </si>
  <si>
    <t>25 0 05 00000</t>
  </si>
  <si>
    <t>39 0 04 00000</t>
  </si>
  <si>
    <t>28 0 00 00000</t>
  </si>
  <si>
    <t>Бюджет</t>
  </si>
  <si>
    <t>Районный бюджет</t>
  </si>
  <si>
    <t>Областной бюджет</t>
  </si>
  <si>
    <t>Вид                  расходов</t>
  </si>
  <si>
    <t>02 0 02 00000</t>
  </si>
  <si>
    <t>02 0 06 00000</t>
  </si>
  <si>
    <t>Приобретение средств индивидуальной защиты</t>
  </si>
  <si>
    <t>Подвесной лодочный мотор</t>
  </si>
  <si>
    <t>02 0 06 20030</t>
  </si>
  <si>
    <t>Муниципальная программа "Обеспечение пожарной безопасности  в образовательных учреждениях Ольховского района на 2020-2022 годы"</t>
  </si>
  <si>
    <t>01 0 00 00000</t>
  </si>
  <si>
    <t>Муниципальная программа "Создание условий для предоставления транспортных услуг населению и организация транспортного обслуживания населения и муниципальных маршрутах регулярных перевозок по регулируемым тарифам автомобильным транспортом на территории  Ольховского муниципального района Волгоградской области на 2021-2023 гг"</t>
  </si>
  <si>
    <t>Приобретение антивирусного программного обеспечения</t>
  </si>
  <si>
    <t>Аттестация информационных систем</t>
  </si>
  <si>
    <t>29 0 04 00000</t>
  </si>
  <si>
    <t>29 0 03 00000</t>
  </si>
  <si>
    <t>Муниципальная программа  "Развитие информационного общества  в Ольховском муниципальном районе  на 2021-2023 годы"</t>
  </si>
  <si>
    <t>28 0 03 00000</t>
  </si>
  <si>
    <t>Межевание земельных участков</t>
  </si>
  <si>
    <t>Внесение сведений в ЕГРН сведений о границах населенных пунктов</t>
  </si>
  <si>
    <t>Оценка начального размера годовой арендной платы</t>
  </si>
  <si>
    <t>Муниципальная  программа  "Подготовка кадров для органов местного самоуправления, муниципальных учреждений Ольховского муниципального района Волгоградской области на период 2021-2023 годы"</t>
  </si>
  <si>
    <t>Формирование банка данных о наличии вакантных мест работников органов местного самоуправления, муниципальных учреждений образования, культуры, физической культурыи спорта, работающих на территории Ольховского муниципального района</t>
  </si>
  <si>
    <t>Денежные выплаты студентам очной формы обучения государственных образовательных профессионального образования, обучающихся по договорам о целевом обучении, заключенным с администрацией Ольховского муниципального района</t>
  </si>
  <si>
    <t>Проведение профориентационной работы в выпускных классах общеобразовательных школ</t>
  </si>
  <si>
    <t>Повышение квалификации работников органов местного самоуправления Ольховского муниципального района</t>
  </si>
  <si>
    <t>Проект планировки территории с. Ольховка</t>
  </si>
  <si>
    <t>Проект планировки территории с. Ольховка пос.Газовиков</t>
  </si>
  <si>
    <t>Проектирование сетей инженерной инфраструктуры с.Ольховка</t>
  </si>
  <si>
    <t xml:space="preserve">Межевание земельных участков в зоне перспективной застройки с.Ольховка для размещения объектов социальной инфраструктуры </t>
  </si>
  <si>
    <t>39 0 04  20430</t>
  </si>
  <si>
    <t>39 0 01 00000</t>
  </si>
  <si>
    <t>39 0 02 00000</t>
  </si>
  <si>
    <t>39 0 03 00000</t>
  </si>
  <si>
    <t>244</t>
  </si>
  <si>
    <t>Приобретение необходимых материалов и проведение работ по замене устаревшего оборудования, изношенных водопроводных труб системы водоснабжения</t>
  </si>
  <si>
    <t>Модернизация устаревшего оборудования системы водоснабжения: приобретение и установка  водонапорных башен</t>
  </si>
  <si>
    <t>Реконструкция системы водоснабжения п.Нежинский, Ольховского района, Волгоградской области  (проектирование)</t>
  </si>
  <si>
    <t>Реконструкция системы водоснабжения с. Гусевка, Ольховского района, Волгоградской области  (проектирование)</t>
  </si>
  <si>
    <t>Реконструкция системы водоснабжения с. Липовка, Ольховского района, Волгоградской области  (проектирование)</t>
  </si>
  <si>
    <t xml:space="preserve">Муниципальная программа "Комплексное развитие сельских территорий" </t>
  </si>
  <si>
    <t>Канализационная  насосная станция, расположенная в Ольховском районе с.Ольховка, ул. Базарная и очистные сооружения канализации, расположенные в Ольховском районе, с.Ольховка,, ул. Октябрьская, 31 в Волгоградской области, реконструкция очистных сооружений канализации (2 этап строительства)</t>
  </si>
  <si>
    <t>Реконструкция системы водоснабжения  с. Ольховка, Ольховского района, Волгоградской области: : реконструкция системы водоснабжения (2-й этап)</t>
  </si>
  <si>
    <t xml:space="preserve">Реконструкция системы водоснабжения п.Нежинский Ольховского района Волгоградской области </t>
  </si>
  <si>
    <t xml:space="preserve">Реконструкция системы водоснабжения с.Солодча,  Ольховского района, Волгоградской области </t>
  </si>
  <si>
    <t xml:space="preserve">Строительство школы  на 800 мест в с. Ольховка, Ольховского района, Волгоградской области </t>
  </si>
  <si>
    <t xml:space="preserve">Капитальный ремонт помещений спортивного зала ДЮСШ по адресу: Волгоградская обл, Ольховский район, с.Ольховка, ул.Комсомольская, 21 </t>
  </si>
  <si>
    <t>Универсальный спортивный зал Волгоградской области   Ольховского района с. Ольховка, ул. Восточная, 9</t>
  </si>
  <si>
    <t>Строительство коммунальной инфраструктуры территории перспективного развития с.Ольховка</t>
  </si>
  <si>
    <t xml:space="preserve">Реконструкция системы водоснабжения с. Гусевка,  Ольховского района, Волгоградской области </t>
  </si>
  <si>
    <t xml:space="preserve">Реконструкция системы водоснабжения с. Липовка,  Ольховского района, Волгоградской области </t>
  </si>
  <si>
    <t xml:space="preserve">Капитальный ремонт МОУ ДО "Ольховский ЦРТДЮ" с.Ольховка, Ольховского района, Волгоградской области </t>
  </si>
  <si>
    <t xml:space="preserve">Капитальный ремонт  РДК  с.Ольховка, Ольховского района, Волгоградской области </t>
  </si>
  <si>
    <t>Приобретение автобуса для участия спортивных команд Гусевского с/поселения в районных, областных и федеральных спортивно-массовых мероприятиях  и соревнованиях</t>
  </si>
  <si>
    <t>Приобретение автобуса для участия спортивных команд Ольховского района в районных, областных и федеральных спортивно-массовых мероприятиях  и соревнованиях</t>
  </si>
  <si>
    <t>35 0 06 00000</t>
  </si>
  <si>
    <t>35 0 07 00000</t>
  </si>
  <si>
    <t>35 0 08 00000</t>
  </si>
  <si>
    <t>35 0 12 00000</t>
  </si>
  <si>
    <t>35 0 13 00000</t>
  </si>
  <si>
    <t>35 0 14 00000</t>
  </si>
  <si>
    <t>35 0 15 00000</t>
  </si>
  <si>
    <t>Капитальные вложения в объекты государственной (муниципальной) собственности</t>
  </si>
  <si>
    <t>Сбор, транспортировка твердых бытовых отходов с территории закрытых санкционированных свалок и размещение на лицензионном полигоне</t>
  </si>
  <si>
    <t>Профессиональная подготовка, переподготовка и повышение квалификации</t>
  </si>
  <si>
    <t>Высшее образование</t>
  </si>
  <si>
    <t>Муниципальная программа "Патриотическое воспитание граждан в Ольховском муниципальном районе на 2019-2021 годы"</t>
  </si>
  <si>
    <t>Участие в областных и районных мероприятиях</t>
  </si>
  <si>
    <t>Проведение торжественных мероприятий, посвещенных дням воинской славы и памятным датам России</t>
  </si>
  <si>
    <t>Приобретение спртивного оборудования для тренажерного зала</t>
  </si>
  <si>
    <t>Муниципальная программа "Комплексные меры противодействиея злоупотреблению наркотиками и их незаконному обороту на территории Ольховского района на 2021-2023 гг."</t>
  </si>
  <si>
    <t>Ведомственная целевая программа"Дополнительное образование детей в сфере культуры и искусства на территории Ольховского муниципального района на 2021-2023 гг."</t>
  </si>
  <si>
    <t>20 0 00 00000</t>
  </si>
  <si>
    <t>20 0 02 00000</t>
  </si>
  <si>
    <t>Ведомственная целевая программа "Основные направления развития культуры Ольховского муниципального района на 2021-2023 годы"</t>
  </si>
  <si>
    <t>Распределение бюджетных ассигнований на реализацию ведомственных целевых  программ Ольховского муниципального района на  2021  год и плановый период 2022 и 2023 годы.</t>
  </si>
  <si>
    <t>Обеспечение развития материально-технической базы муниципальных домов культуры</t>
  </si>
  <si>
    <t>Муниципальная программа "Развитие туризма на территории Ольховского муниципального района на 2019-2021 годы"</t>
  </si>
  <si>
    <t xml:space="preserve">Муниципальная программа "Развитие физической культуры и спорта на территории Ольховского района на 2021-2023 годы" </t>
  </si>
  <si>
    <t xml:space="preserve">Муниципальная  программа «Развитие молодежной политики на территории Ольховского муниципального района в 2021-2023 годах» </t>
  </si>
  <si>
    <t>Распределение бюджетных ассигнований на реализацию муниципальных  программ Ольховского муниципального района                                                                                                 на  2021  год и плановый период 2022 и 2023 годы.</t>
  </si>
  <si>
    <t>Распределение бюджетных ассигнований по разделам, подразделам, целевым статьям и видам  расходов  классификации расходов бюджета Ольховского муниципального района на  2021  год и плановый период 2022 и 2023 годы.</t>
  </si>
  <si>
    <t>Распределение бюджетных ассигнований по разделам и подразделам  классификации расходов бюджета Ольховского муниципального района на  2021  год и плановый период 2022 и 2023 годы.</t>
  </si>
  <si>
    <t>Размещение материалов в средствах массовой информации</t>
  </si>
  <si>
    <t>7</t>
  </si>
  <si>
    <t>8</t>
  </si>
  <si>
    <t>Ольховская районная Дума</t>
  </si>
  <si>
    <t>35 0 16 00000</t>
  </si>
  <si>
    <t xml:space="preserve">Капитальный ремонт РДК  с.Гусевка, Ольховского района, Волгоградской области </t>
  </si>
  <si>
    <t>Муниципальная программа "Формирование и оценка земельных участков на территории Ольховского муниципального района Волгоградской области на 2021-2023 годы"</t>
  </si>
  <si>
    <t>Ремонт зданий и благоустройтво прилегающих территорий образовательных учреждений Ольховского муниципального района (ремонт кровли)</t>
  </si>
  <si>
    <t>99 0 00 S1850</t>
  </si>
  <si>
    <t>Ремонт зданий и благоустройтво прилегающих территорий образовательных учреждений Ольховского муниципального района (линейки)</t>
  </si>
  <si>
    <t>Ремонт зданий и благоустройтво прилегающих территорий образовательных учреждений Ольховского муниципального района</t>
  </si>
  <si>
    <t>99 0 00 S1890</t>
  </si>
  <si>
    <t>99 0 00 50970</t>
  </si>
  <si>
    <t>99 0 00 L3040</t>
  </si>
  <si>
    <t>Оплата труда с учетом обязательных начитслений преподавателями (или) воспитателям, проводящим занятия, способствующие повышению финансовой грамотности детей 5-7 лет, 10-15 лет, (областная программа) и учащихся 4-11 классов (программа Минфина);</t>
  </si>
  <si>
    <t xml:space="preserve">Подготовка, повышение квалификации преподавателей и (или) воспитателей, участвующих в проведении занятий по областной программе </t>
  </si>
  <si>
    <t>40 0 00 00000</t>
  </si>
  <si>
    <t>40 0 01 00000</t>
  </si>
  <si>
    <t>40 0 01 71170</t>
  </si>
  <si>
    <t>40 0 02 00000</t>
  </si>
  <si>
    <t>40 0 02 71170</t>
  </si>
  <si>
    <t>Преобретение методических пособий, методической литературы, наглядных пособий и канцелярских товаров необходимых для проведения занятий по областной программе</t>
  </si>
  <si>
    <t>40 0 03 00000</t>
  </si>
  <si>
    <t>40 0 03 71170</t>
  </si>
  <si>
    <t>40 0 03 S1170</t>
  </si>
  <si>
    <t xml:space="preserve"> Формирование земельных участков в зоне перспективной застройки с.Ольховка для размещения объектов социальной инфраструктуры </t>
  </si>
  <si>
    <t>Муниципальная программ"Подготовка проектно - сметной документации по обеспечению инженерной инфраструктурой перспективных зон застрйоки с. Ользовка Ольховского района Волгоградской области на 2021-2023 годы"</t>
  </si>
  <si>
    <t>Проект планировки территории с. Ольховка  по улицам  70 лет  Победы и  Кленовая</t>
  </si>
  <si>
    <t>Проектирование сетей инженерной инфраструктуры с.Ольховка  в пос. Газовиков и улицам 70 лет Победы и Кленовая.</t>
  </si>
  <si>
    <t xml:space="preserve"> Техническое перевооружение котельной.</t>
  </si>
  <si>
    <t xml:space="preserve">Средняя  общеобразовательная  школа   на 800  учащихся  в с. Ольховка, Ольховского района, Волгоградской области </t>
  </si>
  <si>
    <t xml:space="preserve">Капитальный ремонт помещений спортивного зала  Муниципального образовательного  учреждения дополнительного образования"Ольховская детско- юношеская спортивная школа"  Ольховского муниципального района Волгоградской области по адресу: 403651 ул.Комсомольская, 24,с.Ольховка,Ольховский район ,Волгоградская область." </t>
  </si>
  <si>
    <t>муниципальная программа "Комплексное развитие сельских территорий "</t>
  </si>
  <si>
    <t>Муниципальная программа"Комплесное развитие сельских территорий"</t>
  </si>
  <si>
    <t>Муниципальная программа"Комплексное развитие сельских территорий"</t>
  </si>
  <si>
    <t xml:space="preserve"> Объект  капитального строительства "Универсальный спортивный зал "Волгоградской области  Ольховского района  с.Ольховка ,ул.Восточная,9</t>
  </si>
  <si>
    <t xml:space="preserve">Капитальные вложения в объекты  государственной (муниципальной )  собственности </t>
  </si>
  <si>
    <t>Объект капитального строительстваУниверсальный спортивный зал Волгоградской области   Ольховского района с. Ольховка, ул. Восточная, 9</t>
  </si>
  <si>
    <t>строек  и объектов  строительства, реконструкции  и  технического  перевооружения  для  районных  муниципальных  нужд  на 2021 год и на плановый период 2022 и 2023 годов</t>
  </si>
  <si>
    <t xml:space="preserve">Капитальный ремонт Гусевского сельского  дома культуры Гусевского сельского поселения  Ольховского муниципального района </t>
  </si>
  <si>
    <t>35 0 16 20030</t>
  </si>
  <si>
    <t>Оплата труда с учетом обязательных начислений преподавателями (или) воспитателям, проводящим занятия, способствующие повышению финансовой грамотности детей 5-7 лет, 10-15 лет, (областная программа) и учащихся 4-11 классов (программа Минфина);</t>
  </si>
  <si>
    <t>Приобретение спортивного оборудования для тренажерного зала</t>
  </si>
  <si>
    <t>Муниципальная программа "Обеспечение безопасности дорожного движения в Ольховском муниципальном районе Волгоградской области на 2020-2023 годы"</t>
  </si>
  <si>
    <t>Муниципальная программа "Обеспечение пожарной безопасности  в образовательных учреждениях Ольховского района на 2020-2023 годы"</t>
  </si>
  <si>
    <t>Муниципальная программа "Профилактика правонарушений,терроризма и эктремизма на территории Ольховского муниципального района на 2020-2023 гг."</t>
  </si>
  <si>
    <t xml:space="preserve">План на 2021 год                </t>
  </si>
  <si>
    <t>План на 2023 год</t>
  </si>
  <si>
    <t>Ведомственная целевая программа"Дополнительное образование детей в сфере культуры и искусства на территории Ольховского муниципального района на 2021-2023 годы."</t>
  </si>
  <si>
    <t>Другие вопросы в области средств массовой информации</t>
  </si>
  <si>
    <t>Муниципальная  программа "Развитие и совершенствование гражданской обороны, защиты населения от чрезвычайных ситуаций природного и техногенного характера и снижения рисков их возникновения на территории Ольховского муниципального района на 2021-2023 годы"</t>
  </si>
  <si>
    <t>Муниципальная  программа "Развитие и совершенствование  гражданской обороны, защиты населения от чрезвычайных ситуаций природного и техногенного характера и снижения рисков их возникновения на территории Ольховского муниципального района на 2021-2023 годы"</t>
  </si>
  <si>
    <t>Муниципальная программа "Укрепление и развитие материально-технической базы учреждений клубного типа Ольховского муниципального района Волгоградской области на  2021-2023 годов"</t>
  </si>
  <si>
    <t>Муниципальная программа "Укрепление и развитие материально-технической базы учреждений клубного типа Ольховского муниципального района Волгоградской области на 2021-2023 годов"</t>
  </si>
  <si>
    <t>ОБСЛУЖИВАНИЕ ГОСУДАРСТВЕННОГО ( МУНИЦИПАЛЬНОГО )ДОЛГА</t>
  </si>
  <si>
    <t>Обслуживание государственного (муниципального) внутреннего долга</t>
  </si>
  <si>
    <t>Универсальный спортивный зал в  Волгоградской области   Ольховского муниципального района с. Ольховка, ул. Восточная, 9</t>
  </si>
  <si>
    <t>35 0 08 L5768</t>
  </si>
  <si>
    <t>35 0 16 L5768</t>
  </si>
  <si>
    <t>"Капитальный ремонт  помещений спортивного  зала Муниципального образовательного учреждения  дополнительного образования "Ольховская детско-юношеская спортивная школа " Ольховского муниципального района  Волгоградской области по адресу 403651,ул.Комсомольская,24,с. Ольховка,Ольховский район ,Волгоградская область"</t>
  </si>
  <si>
    <t>35 0  07 L5768</t>
  </si>
  <si>
    <t>Обеспечение деятельности казенных учреждений (МФЦ)</t>
  </si>
  <si>
    <t>Судебная система</t>
  </si>
  <si>
    <t xml:space="preserve">Судебная система </t>
  </si>
  <si>
    <t>0105</t>
  </si>
  <si>
    <t>Не программные направления обеспечения деятельности государственных органов Волгоградской области</t>
  </si>
  <si>
    <t>99 0 00 51200</t>
  </si>
  <si>
    <t>Проведение Всероссийской переписи населения 2021 года</t>
  </si>
  <si>
    <t>35 0 15  L5768</t>
  </si>
  <si>
    <t>35 0 14  L5768</t>
  </si>
  <si>
    <t>15 0 P5 52280</t>
  </si>
  <si>
    <t>15 0 04 71910</t>
  </si>
  <si>
    <t>31 0 06 S1860</t>
  </si>
  <si>
    <t>Ремонт зданий и благоустройтво прилегающих территорий образовательных учреждений Ольховского муниципального района на 2019-2021 годы (модернизация спортплощадок)</t>
  </si>
  <si>
    <t>31 0 06 00000</t>
  </si>
  <si>
    <t>Дооснащение объектов спортивной инфраструктуры техническим оборудованием для лиц с ограниченнными возможностями</t>
  </si>
  <si>
    <t>Оснащение объектов спортивной инфраструктуры спортивно-техническим оборудованием</t>
  </si>
  <si>
    <t>31 0 E2 50970</t>
  </si>
  <si>
    <t>Субвенция на компенсацию (возмещение)выпадающих доходов по регулированию транспортых тарифов</t>
  </si>
  <si>
    <t>99 0 00 70820</t>
  </si>
  <si>
    <t>Закупка товаров, работ и услуг для обеспечения муниципальных нужд в области коммунального хозяйства</t>
  </si>
  <si>
    <t>99 0 00 20012</t>
  </si>
  <si>
    <t>15 0 04 00000</t>
  </si>
  <si>
    <t>15 0 P5 00000</t>
  </si>
  <si>
    <t>Мероприятие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(ремонт спортивного зала)</t>
  </si>
  <si>
    <t>Капитальный ремонт Гусевского сельского  дома культуры Гусевского сельского поселения  Ольховского муниципального района (областные)</t>
  </si>
  <si>
    <t>Капитальный ремонт Гусевского сельского  дома культуры Гусевского сельского поселения  Ольховского муниципального района (районные)</t>
  </si>
  <si>
    <t>Капитальный ремонт Гусевского сельского  дома культуры Гусевского сельского поселения  Ольховского муниципального района</t>
  </si>
  <si>
    <t>Муниципальная программа "Повышение финансовой грамотности обучающихся и воспитанников муниципальных образовательных организаций Ольховского муниципального района в 2020-2023 годах"</t>
  </si>
  <si>
    <t>Субсидии некомерческим организациям(за исключением государственные (муниципальных) учреждений) (областные)</t>
  </si>
  <si>
    <t>Муниципальная программ"Подготовка проектно - сметной документации по обеспечению инженерной инфраструктурой перспективных зон застройки с. Ольховка Ольховского района Волгоградской области на 2021-2023 годы"</t>
  </si>
  <si>
    <t>Ремонт зданий и благоустройтво прилегающих территорий образовательных учреждений Ольховского муниципального района на 2019-2021 годы (Оконные блоки)</t>
  </si>
  <si>
    <t xml:space="preserve">Капитальные вложения в объекты  государственной (муниципальной )  собственности (областнойбюджет) </t>
  </si>
  <si>
    <t>Капитальные вложения в объекты  государственной (муниципальной )  собственности  (орайонный бюджет)</t>
  </si>
  <si>
    <t xml:space="preserve">Капитальные вложения в объекты  государственной (муниципальной )  собственности (областной бюджет) </t>
  </si>
  <si>
    <t>Строительство канализационной насосной станции, расположенной в Ольховском районе с.Ольховка, ул.Базарная и очистные сооружения в Ольховском районе с.Ольховка ул. Октябрьская, 31 в Волгоградской области.реконструкция очистных  (2-й этап)</t>
  </si>
  <si>
    <t>Иные субсидии некоммерческим организациям (за исключением государственных (муниципальных) учреждений)(районный бюджет)</t>
  </si>
  <si>
    <t>35 0 17 00000</t>
  </si>
  <si>
    <t>35 0 17 L5765</t>
  </si>
  <si>
    <t xml:space="preserve">35 0 17 L5765 </t>
  </si>
  <si>
    <t>633</t>
  </si>
  <si>
    <t>Приобретение и монтаж оборудования для доочистки воды</t>
  </si>
  <si>
    <t>Приобретение и монтаж оборудования для доочистки воды (областной бюджет)</t>
  </si>
  <si>
    <t>Приобретение и монтаж оборудования для доочистки воды (районый бюджет)</t>
  </si>
  <si>
    <t>25 0 08 S1970</t>
  </si>
  <si>
    <t>4.Приложение 7 изложить в следующей редакции:</t>
  </si>
  <si>
    <t>5. Приложение 8 изложить в следующей редакции:</t>
  </si>
  <si>
    <t>7. Приложение 10 изложить в следующей редакции:</t>
  </si>
  <si>
    <t>8. Приложение 11 изложить в следующей редакции:</t>
  </si>
  <si>
    <t>9. Приложение 12 изложить в следующей редакции:</t>
  </si>
  <si>
    <t>20 0 02 L4670</t>
  </si>
  <si>
    <t>20 0 02 60050</t>
  </si>
  <si>
    <t>Приобретение криптографических средств обработки информации для работы в региональном  сегменте  СМЭВ</t>
  </si>
  <si>
    <t>Организация работы по информированию населения о значимых событиях района и области в соцсетях и мессенджерах.Заключение договора на оказание услуг.</t>
  </si>
  <si>
    <t>Приобретение и монтаж сертифицированного серверного и сетевого оборудования, высокоскоростной вычислительной техники ,оборудования для актового зала и средств связи</t>
  </si>
  <si>
    <t>Приобретение запасных частей к компьютерной технике, ремонт компьтерной техники, оргтехники</t>
  </si>
  <si>
    <t>Приобретение необходимых материалов по замене устаревшего оборудования, изношенных канализационных труб системы водоотведения Ольховского муниципального района</t>
  </si>
  <si>
    <t>32 0 03 20030</t>
  </si>
  <si>
    <t>32 0 03 00000</t>
  </si>
  <si>
    <t>Государственная поддержка отрасли культуры (оказание государственной поддержки лучшим работникам сельских учреждений культуры)</t>
  </si>
  <si>
    <t>20 0 А2 55195</t>
  </si>
  <si>
    <t>20 0 А2 00000</t>
  </si>
  <si>
    <t>Муниципальная программа "Обеспечение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 Ольховского муниципального района в 2020-2023 годах"</t>
  </si>
  <si>
    <t>Муниципальная  программа  "Реконструкция и модернизация систем водоснабжения в населенных пунктах Ольховского муниципального района на 2020-2023 годы"</t>
  </si>
  <si>
    <t>Приобретение и поставка материалов и комплектующих изделий для трубопроводов водоснабжения из напорных полиэтиленовых труб для прокладки новой водопроводной системы в с.Ольховка Ольховского района Волгоградской области</t>
  </si>
  <si>
    <t xml:space="preserve">Приобретение и поставка железобетонных изделий для новой водопроводной системы в с.Ольховска Ольховского района Волгоградской области </t>
  </si>
  <si>
    <t>25 0 09 20030</t>
  </si>
  <si>
    <t>25 0 10 20030</t>
  </si>
  <si>
    <t>25 0 09 00000</t>
  </si>
  <si>
    <t>25 0 10 00000</t>
  </si>
  <si>
    <t>Муниципальная программ"Подготовка проектно - сметной документации по обеспечению инженерной инфраструктурой перспективных зон застрйоки с. Ольховка Ольховского района Волгоградской области на 2021-2023 годы"</t>
  </si>
  <si>
    <t>20 0 01 00000</t>
  </si>
  <si>
    <t>20 0 01 60050</t>
  </si>
  <si>
    <t>20 0 04 60050</t>
  </si>
  <si>
    <t>20 0 04 00000</t>
  </si>
  <si>
    <t>Предоставление субсидии бюджетным , автономным учреждениям и иным некоммерческим организациям  (МБУ "ХЭК")</t>
  </si>
  <si>
    <t>Материально-техническое оснащение</t>
  </si>
  <si>
    <t>Содействие привлечению деятелей культуры к участию в добровольческих (волонтерских)акциях, мероприятиях и встречах с добровольцами (волонтерами), а так же организация информационного освещения данных мероприятий.</t>
  </si>
  <si>
    <t>Гражданская оборона</t>
  </si>
  <si>
    <t>Защита населения и территории от черезвычайных ситуаций природного и техногенного характера, пожарная безопасность</t>
  </si>
  <si>
    <t xml:space="preserve">300 </t>
  </si>
  <si>
    <t>Обустройство малой спортивной площадки, на которой возможно проводить тестирование населения в соответствии с Всероссийским физкультурно-спортивным комплексом "Готов к труду и обороне"(ГТО)</t>
  </si>
  <si>
    <t>15 0 13 20030</t>
  </si>
  <si>
    <t>15 0 13 00000</t>
  </si>
  <si>
    <t xml:space="preserve">Капитальные вложения в объекты  государственной (муниципальной )  собственности (районный бюджет) </t>
  </si>
  <si>
    <t>35 0 08 25768</t>
  </si>
  <si>
    <t>35 0 0820031</t>
  </si>
  <si>
    <t>99 0 00 00090</t>
  </si>
  <si>
    <t>99 0 00 60300</t>
  </si>
  <si>
    <t>Реконструкции и системы водоснабжения с.Ольховка Ольховского района Волгоградской области</t>
  </si>
  <si>
    <t>Обеспечение деятельности Муниципального казенного учреждения "Единая дежурно-диспетчерская служба администрации Ольховского муниципального района Волгоградской области (ЕДДС)"</t>
  </si>
  <si>
    <t>Муниципальная программа"Ремонт зданий и благоустройство прилегающих территорий образовательных учреждений Ольховского муниципального района на  период 2019-2023 годы"</t>
  </si>
  <si>
    <t>Муниципальная программа"Ремонт зданий и благоустройство прилегающих территорий образовательных учреждений Ольховского муниципального района  на  период 2019-2023 годы"</t>
  </si>
  <si>
    <t>Межбюджетные трансферты,передаваемые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</si>
  <si>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90 0 00 5549F</t>
  </si>
  <si>
    <t>Выполнение полномочий органов местного самоуправления по решению вопросов местного значения по организационному и материально-техническомуобеспечению подготовки и проведения муниципальных выборов</t>
  </si>
  <si>
    <t>99 000 S2230</t>
  </si>
  <si>
    <t xml:space="preserve">Капитальные вложения в объекты  государственной (муниципальной )  собственности     ( внебюджет) </t>
  </si>
  <si>
    <t>25 0 08 00000</t>
  </si>
  <si>
    <t>99 0 00 60800</t>
  </si>
  <si>
    <t>Реконструкции и системы водоснабжения с.Ольховка Ольховского района Волгоградской области (районный бюджет)</t>
  </si>
  <si>
    <t>Реконструкции и системы водоснабжения с.Ольховка Ольховского района Волгоградской области (областной бюджет)</t>
  </si>
  <si>
    <t>25 0 F5 52430</t>
  </si>
  <si>
    <t>25 0 F5 00000</t>
  </si>
  <si>
    <t xml:space="preserve">Подключение (технологическое присоединение) объекта капитального строительства "Дошкольное образовательное учреждение" к сети газораспределения </t>
  </si>
  <si>
    <t>План на 2021 год</t>
  </si>
  <si>
    <t>Исполнение за 2021 год</t>
  </si>
  <si>
    <t>% исполнения</t>
  </si>
  <si>
    <t>Исполнение расходной части бюджета  по разделам, подразделам, целевым статьям и видам  расходов  бюджета в составе  ведомственной структуры расходов бюджета Ольховского муниципального района  за  2021  год.</t>
  </si>
  <si>
    <t>Предоставление субсидий бюджетным, автономным учреждениям и иным некоммерческим организациям  (областной бюджет)</t>
  </si>
  <si>
    <t>Получение  кредита</t>
  </si>
  <si>
    <t>ВСЕГО РАСХОДОВ</t>
  </si>
  <si>
    <t>Приложение 3 к решению от___________№_____</t>
  </si>
</sst>
</file>

<file path=xl/styles.xml><?xml version="1.0" encoding="utf-8"?>
<styleSheet xmlns="http://schemas.openxmlformats.org/spreadsheetml/2006/main">
  <numFmts count="5">
    <numFmt numFmtId="164" formatCode="?"/>
    <numFmt numFmtId="165" formatCode="0.0"/>
    <numFmt numFmtId="166" formatCode="#,##0.0"/>
    <numFmt numFmtId="167" formatCode="#,##0.00;[Red]#,##0.00"/>
    <numFmt numFmtId="168" formatCode="0.0%"/>
  </numFmts>
  <fonts count="1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 applyBorder="1"/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3" fillId="0" borderId="9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horizontal="center" vertical="top" wrapText="1"/>
    </xf>
    <xf numFmtId="2" fontId="3" fillId="0" borderId="0" xfId="0" applyNumberFormat="1" applyFont="1" applyFill="1" applyBorder="1"/>
    <xf numFmtId="0" fontId="3" fillId="0" borderId="0" xfId="0" applyFont="1" applyAlignment="1">
      <alignment horizontal="left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1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 wrapText="1"/>
    </xf>
    <xf numFmtId="166" fontId="2" fillId="0" borderId="3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6" fontId="2" fillId="0" borderId="20" xfId="0" applyNumberFormat="1" applyFont="1" applyBorder="1" applyAlignment="1">
      <alignment horizontal="right" vertical="center" wrapText="1"/>
    </xf>
    <xf numFmtId="166" fontId="3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wrapText="1"/>
    </xf>
    <xf numFmtId="166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2" fillId="3" borderId="0" xfId="0" applyFont="1" applyFill="1" applyBorder="1"/>
    <xf numFmtId="0" fontId="3" fillId="0" borderId="9" xfId="0" applyFont="1" applyBorder="1" applyAlignment="1">
      <alignment horizontal="justify" vertical="top" wrapText="1"/>
    </xf>
    <xf numFmtId="166" fontId="2" fillId="0" borderId="9" xfId="0" applyNumberFormat="1" applyFont="1" applyBorder="1" applyAlignment="1">
      <alignment horizontal="center" vertical="top" wrapText="1"/>
    </xf>
    <xf numFmtId="0" fontId="7" fillId="3" borderId="0" xfId="0" applyFont="1" applyFill="1"/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166" fontId="2" fillId="0" borderId="3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68" fontId="2" fillId="0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8" fontId="3" fillId="0" borderId="3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3" fillId="0" borderId="0" xfId="0" applyFont="1"/>
    <xf numFmtId="49" fontId="2" fillId="0" borderId="5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7" fontId="3" fillId="0" borderId="19" xfId="0" applyNumberFormat="1" applyFont="1" applyFill="1" applyBorder="1" applyAlignment="1"/>
    <xf numFmtId="167" fontId="3" fillId="0" borderId="2" xfId="0" applyNumberFormat="1" applyFont="1" applyFill="1" applyBorder="1" applyAlignment="1"/>
    <xf numFmtId="0" fontId="3" fillId="0" borderId="0" xfId="0" applyFont="1" applyFill="1" applyAlignment="1">
      <alignment wrapText="1"/>
    </xf>
    <xf numFmtId="166" fontId="8" fillId="0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textRotation="90" wrapText="1"/>
    </xf>
    <xf numFmtId="49" fontId="8" fillId="0" borderId="4" xfId="0" applyNumberFormat="1" applyFont="1" applyFill="1" applyBorder="1" applyAlignment="1">
      <alignment horizontal="center" vertical="center" textRotation="90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166" fontId="0" fillId="0" borderId="4" xfId="0" applyNumberForma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right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2"/>
  <sheetViews>
    <sheetView view="pageBreakPreview" topLeftCell="A35" zoomScaleSheetLayoutView="100" workbookViewId="0">
      <selection activeCell="E58" sqref="E58"/>
    </sheetView>
  </sheetViews>
  <sheetFormatPr defaultColWidth="9.140625" defaultRowHeight="12.75"/>
  <cols>
    <col min="1" max="1" width="0.28515625" style="1" customWidth="1"/>
    <col min="2" max="2" width="69.7109375" style="90" customWidth="1"/>
    <col min="3" max="3" width="9.7109375" style="83" customWidth="1"/>
    <col min="4" max="4" width="11.140625" style="127" customWidth="1"/>
    <col min="5" max="6" width="11.140625" style="53" customWidth="1"/>
    <col min="7" max="16384" width="9.140625" style="1"/>
  </cols>
  <sheetData>
    <row r="1" spans="2:7">
      <c r="C1" s="213"/>
      <c r="D1" s="213"/>
      <c r="E1" s="213"/>
      <c r="F1" s="213"/>
      <c r="G1" s="33"/>
    </row>
    <row r="2" spans="2:7">
      <c r="B2" s="84" t="s">
        <v>879</v>
      </c>
      <c r="C2" s="213"/>
      <c r="D2" s="213"/>
      <c r="E2" s="213"/>
      <c r="F2" s="213"/>
      <c r="G2" s="33"/>
    </row>
    <row r="3" spans="2:7">
      <c r="B3" s="84"/>
      <c r="C3" s="213"/>
      <c r="D3" s="213"/>
      <c r="E3" s="213"/>
      <c r="F3" s="213"/>
      <c r="G3" s="33"/>
    </row>
    <row r="4" spans="2:7">
      <c r="B4" s="219"/>
      <c r="C4" s="220"/>
      <c r="D4" s="220"/>
      <c r="E4" s="220"/>
      <c r="F4" s="174"/>
      <c r="G4" s="3"/>
    </row>
    <row r="5" spans="2:7" ht="24" customHeight="1">
      <c r="B5" s="216" t="s">
        <v>773</v>
      </c>
      <c r="C5" s="217"/>
      <c r="D5" s="217"/>
      <c r="E5" s="218"/>
      <c r="F5" s="218"/>
      <c r="G5" s="2"/>
    </row>
    <row r="6" spans="2:7" ht="14.25" customHeight="1">
      <c r="B6" s="91"/>
      <c r="C6" s="2"/>
      <c r="D6" s="227" t="s">
        <v>0</v>
      </c>
      <c r="E6" s="227"/>
      <c r="F6" s="227"/>
      <c r="G6" s="2"/>
    </row>
    <row r="7" spans="2:7">
      <c r="B7" s="223" t="s">
        <v>1</v>
      </c>
      <c r="C7" s="221" t="s">
        <v>3</v>
      </c>
      <c r="D7" s="225" t="s">
        <v>344</v>
      </c>
      <c r="E7" s="214" t="s">
        <v>419</v>
      </c>
      <c r="F7" s="214" t="s">
        <v>643</v>
      </c>
    </row>
    <row r="8" spans="2:7" ht="43.5" customHeight="1">
      <c r="B8" s="224"/>
      <c r="C8" s="222"/>
      <c r="D8" s="226"/>
      <c r="E8" s="215"/>
      <c r="F8" s="215"/>
    </row>
    <row r="9" spans="2:7">
      <c r="B9" s="18" t="s">
        <v>6</v>
      </c>
      <c r="C9" s="18" t="s">
        <v>7</v>
      </c>
      <c r="D9" s="18" t="s">
        <v>8</v>
      </c>
      <c r="E9" s="11" t="s">
        <v>9</v>
      </c>
      <c r="F9" s="11" t="s">
        <v>10</v>
      </c>
    </row>
    <row r="10" spans="2:7">
      <c r="B10" s="85" t="s">
        <v>13</v>
      </c>
      <c r="C10" s="18" t="s">
        <v>14</v>
      </c>
      <c r="D10" s="121">
        <f>D12+D13+D15+D16+D17+D11+D14</f>
        <v>54253.599999999991</v>
      </c>
      <c r="E10" s="168">
        <f t="shared" ref="E10:F10" si="0">E12+E13+E15+E16+E17+E11+E14</f>
        <v>51654.499999999993</v>
      </c>
      <c r="F10" s="170" t="e">
        <f t="shared" si="0"/>
        <v>#DIV/0!</v>
      </c>
    </row>
    <row r="11" spans="2:7" ht="25.5">
      <c r="B11" s="62" t="s">
        <v>340</v>
      </c>
      <c r="C11" s="50" t="s">
        <v>341</v>
      </c>
      <c r="D11" s="123">
        <f>Целевые!F10</f>
        <v>1356.6</v>
      </c>
      <c r="E11" s="169">
        <f>Целевые!G10</f>
        <v>1323.1</v>
      </c>
      <c r="F11" s="173">
        <f>Целевые!H10</f>
        <v>1.9744469870327994</v>
      </c>
    </row>
    <row r="12" spans="2:7" ht="25.5">
      <c r="B12" s="86" t="s">
        <v>15</v>
      </c>
      <c r="C12" s="80" t="s">
        <v>16</v>
      </c>
      <c r="D12" s="123">
        <f>Целевые!F14</f>
        <v>1219</v>
      </c>
      <c r="E12" s="169">
        <f>Целевые!G14</f>
        <v>1215.5999999999999</v>
      </c>
      <c r="F12" s="173" t="e">
        <f>Целевые!H14</f>
        <v>#DIV/0!</v>
      </c>
    </row>
    <row r="13" spans="2:7" ht="25.5">
      <c r="B13" s="86" t="s">
        <v>360</v>
      </c>
      <c r="C13" s="80" t="s">
        <v>29</v>
      </c>
      <c r="D13" s="123">
        <f>Целевые!F26</f>
        <v>17875.400000000001</v>
      </c>
      <c r="E13" s="169">
        <f>Целевые!G26</f>
        <v>17286.900000000001</v>
      </c>
      <c r="F13" s="173" t="e">
        <f>Целевые!H26</f>
        <v>#DIV/0!</v>
      </c>
    </row>
    <row r="14" spans="2:7">
      <c r="B14" s="86" t="s">
        <v>837</v>
      </c>
      <c r="C14" s="80" t="s">
        <v>838</v>
      </c>
      <c r="D14" s="123">
        <f>Целевые!F49</f>
        <v>13.6</v>
      </c>
      <c r="E14" s="169">
        <f>Целевые!G49</f>
        <v>0</v>
      </c>
      <c r="F14" s="171">
        <f>Целевые!H49</f>
        <v>0</v>
      </c>
    </row>
    <row r="15" spans="2:7" ht="25.5">
      <c r="B15" s="86" t="s">
        <v>57</v>
      </c>
      <c r="C15" s="80" t="s">
        <v>58</v>
      </c>
      <c r="D15" s="123">
        <f>Целевые!F52</f>
        <v>5818</v>
      </c>
      <c r="E15" s="169">
        <f>Целевые!G52</f>
        <v>5703.9</v>
      </c>
      <c r="F15" s="173">
        <f>Целевые!H52</f>
        <v>7.8265390474266008</v>
      </c>
    </row>
    <row r="16" spans="2:7">
      <c r="B16" s="86" t="s">
        <v>67</v>
      </c>
      <c r="C16" s="80" t="s">
        <v>59</v>
      </c>
      <c r="D16" s="123">
        <f>Целевые!F66</f>
        <v>100</v>
      </c>
      <c r="E16" s="169">
        <f>Целевые!G66</f>
        <v>0</v>
      </c>
      <c r="F16" s="173">
        <f>Целевые!H66</f>
        <v>0</v>
      </c>
    </row>
    <row r="17" spans="2:6">
      <c r="B17" s="86" t="s">
        <v>68</v>
      </c>
      <c r="C17" s="80" t="s">
        <v>24</v>
      </c>
      <c r="D17" s="123">
        <f>Целевые!F70</f>
        <v>27870.999999999996</v>
      </c>
      <c r="E17" s="169">
        <f>Целевые!G70</f>
        <v>26124.999999999996</v>
      </c>
      <c r="F17" s="173" t="e">
        <f>Целевые!H70</f>
        <v>#DIV/0!</v>
      </c>
    </row>
    <row r="18" spans="2:6" ht="25.5">
      <c r="B18" s="85" t="s">
        <v>96</v>
      </c>
      <c r="C18" s="18" t="s">
        <v>36</v>
      </c>
      <c r="D18" s="121">
        <f>D19+D20+D21</f>
        <v>1984.8</v>
      </c>
      <c r="E18" s="168">
        <f>E19+E20+E21</f>
        <v>1211</v>
      </c>
      <c r="F18" s="170" t="e">
        <f>F19+F20+F21</f>
        <v>#DIV/0!</v>
      </c>
    </row>
    <row r="19" spans="2:6">
      <c r="B19" s="14" t="s">
        <v>912</v>
      </c>
      <c r="C19" s="80" t="s">
        <v>37</v>
      </c>
      <c r="D19" s="123">
        <f>Целевые!F104</f>
        <v>105</v>
      </c>
      <c r="E19" s="169">
        <f>Целевые!G104</f>
        <v>49</v>
      </c>
      <c r="F19" s="173" t="e">
        <f>Целевые!H104</f>
        <v>#DIV/0!</v>
      </c>
    </row>
    <row r="20" spans="2:6" ht="25.5">
      <c r="B20" s="15" t="s">
        <v>913</v>
      </c>
      <c r="C20" s="80" t="s">
        <v>38</v>
      </c>
      <c r="D20" s="123">
        <f>Целевые!F115</f>
        <v>165.3</v>
      </c>
      <c r="E20" s="169">
        <f>Целевые!G115</f>
        <v>148</v>
      </c>
      <c r="F20" s="173" t="e">
        <f>Целевые!H115</f>
        <v>#DIV/0!</v>
      </c>
    </row>
    <row r="21" spans="2:6" ht="25.5">
      <c r="B21" s="86" t="s">
        <v>80</v>
      </c>
      <c r="C21" s="80" t="s">
        <v>54</v>
      </c>
      <c r="D21" s="123">
        <f>Целевые!F124</f>
        <v>1714.5</v>
      </c>
      <c r="E21" s="169">
        <f>Целевые!G124</f>
        <v>1014</v>
      </c>
      <c r="F21" s="173" t="e">
        <f>Целевые!H124</f>
        <v>#DIV/0!</v>
      </c>
    </row>
    <row r="22" spans="2:6">
      <c r="B22" s="85" t="s">
        <v>97</v>
      </c>
      <c r="C22" s="18" t="s">
        <v>92</v>
      </c>
      <c r="D22" s="121">
        <f>D27+D24+D23+D26+D25</f>
        <v>31156.300000000003</v>
      </c>
      <c r="E22" s="168">
        <f>E27+E24+E23+E26+E25</f>
        <v>24184.400000000001</v>
      </c>
      <c r="F22" s="170" t="e">
        <f>F27+F24+F23+F26+F25</f>
        <v>#DIV/0!</v>
      </c>
    </row>
    <row r="23" spans="2:6">
      <c r="B23" s="86" t="s">
        <v>215</v>
      </c>
      <c r="C23" s="80" t="s">
        <v>214</v>
      </c>
      <c r="D23" s="123">
        <f>Целевые!F141</f>
        <v>34.200000000000003</v>
      </c>
      <c r="E23" s="169">
        <f>Целевые!G141</f>
        <v>0</v>
      </c>
      <c r="F23" s="173">
        <f>Целевые!H141</f>
        <v>0</v>
      </c>
    </row>
    <row r="24" spans="2:6">
      <c r="B24" s="86" t="s">
        <v>195</v>
      </c>
      <c r="C24" s="80" t="s">
        <v>196</v>
      </c>
      <c r="D24" s="123">
        <f>Целевые!F144</f>
        <v>3084.8</v>
      </c>
      <c r="E24" s="169">
        <f>Целевые!G144</f>
        <v>3055.4</v>
      </c>
      <c r="F24" s="173">
        <f>Целевые!H144</f>
        <v>3.9666499056884739</v>
      </c>
    </row>
    <row r="25" spans="2:6">
      <c r="B25" s="86" t="s">
        <v>381</v>
      </c>
      <c r="C25" s="80" t="s">
        <v>377</v>
      </c>
      <c r="D25" s="123">
        <f>Целевые!F153</f>
        <v>26511.300000000003</v>
      </c>
      <c r="E25" s="169">
        <f>Целевые!G153</f>
        <v>20035.600000000002</v>
      </c>
      <c r="F25" s="173">
        <f>Целевые!H153</f>
        <v>4.2275503320934682</v>
      </c>
    </row>
    <row r="26" spans="2:6">
      <c r="B26" s="62" t="s">
        <v>311</v>
      </c>
      <c r="C26" s="80" t="s">
        <v>312</v>
      </c>
      <c r="D26" s="123">
        <f>Целевые!F162</f>
        <v>682</v>
      </c>
      <c r="E26" s="169">
        <f>Целевые!G162</f>
        <v>562.5</v>
      </c>
      <c r="F26" s="173">
        <f>Целевые!H162</f>
        <v>2.0780333333333334</v>
      </c>
    </row>
    <row r="27" spans="2:6">
      <c r="B27" s="86" t="s">
        <v>90</v>
      </c>
      <c r="C27" s="80" t="s">
        <v>91</v>
      </c>
      <c r="D27" s="123">
        <f>Целевые!F171</f>
        <v>844</v>
      </c>
      <c r="E27" s="169">
        <f>Целевые!G171</f>
        <v>530.9</v>
      </c>
      <c r="F27" s="173" t="e">
        <f>Целевые!H171</f>
        <v>#DIV/0!</v>
      </c>
    </row>
    <row r="28" spans="2:6">
      <c r="B28" s="85" t="s">
        <v>94</v>
      </c>
      <c r="C28" s="18" t="s">
        <v>74</v>
      </c>
      <c r="D28" s="121">
        <f>D29+D30</f>
        <v>105783.30000000002</v>
      </c>
      <c r="E28" s="168">
        <f t="shared" ref="E28:F28" si="1">E29+E30</f>
        <v>103847.70000000001</v>
      </c>
      <c r="F28" s="170" t="e">
        <f t="shared" si="1"/>
        <v>#DIV/0!</v>
      </c>
    </row>
    <row r="29" spans="2:6">
      <c r="B29" s="86" t="s">
        <v>93</v>
      </c>
      <c r="C29" s="80" t="s">
        <v>39</v>
      </c>
      <c r="D29" s="123">
        <f>Целевые!F195</f>
        <v>97986.500000000015</v>
      </c>
      <c r="E29" s="169">
        <f>Целевые!G195</f>
        <v>96050.900000000009</v>
      </c>
      <c r="F29" s="173" t="e">
        <f>Целевые!H195</f>
        <v>#DIV/0!</v>
      </c>
    </row>
    <row r="30" spans="2:6" s="4" customFormat="1">
      <c r="B30" s="62" t="s">
        <v>382</v>
      </c>
      <c r="C30" s="50" t="s">
        <v>378</v>
      </c>
      <c r="D30" s="181">
        <f>Целевые!F255</f>
        <v>7796.8</v>
      </c>
      <c r="E30" s="181">
        <f>Целевые!G255</f>
        <v>7796.8</v>
      </c>
      <c r="F30" s="181" t="e">
        <f>Целевые!H255</f>
        <v>#DIV/0!</v>
      </c>
    </row>
    <row r="31" spans="2:6">
      <c r="B31" s="85" t="s">
        <v>81</v>
      </c>
      <c r="C31" s="18" t="s">
        <v>75</v>
      </c>
      <c r="D31" s="121">
        <f>D32</f>
        <v>11</v>
      </c>
      <c r="E31" s="168">
        <f t="shared" ref="E31:F31" si="2">E32</f>
        <v>9.5</v>
      </c>
      <c r="F31" s="170" t="e">
        <f t="shared" si="2"/>
        <v>#DIV/0!</v>
      </c>
    </row>
    <row r="32" spans="2:6">
      <c r="B32" s="62" t="s">
        <v>364</v>
      </c>
      <c r="C32" s="50" t="s">
        <v>363</v>
      </c>
      <c r="D32" s="123">
        <f>Целевые!F264</f>
        <v>11</v>
      </c>
      <c r="E32" s="169">
        <f>Целевые!G264</f>
        <v>9.5</v>
      </c>
      <c r="F32" s="173" t="e">
        <f>Целевые!H264</f>
        <v>#DIV/0!</v>
      </c>
    </row>
    <row r="33" spans="2:6">
      <c r="B33" s="85" t="s">
        <v>27</v>
      </c>
      <c r="C33" s="18" t="s">
        <v>28</v>
      </c>
      <c r="D33" s="121">
        <f>D34+D35+D36+D39+D40+D37+D38</f>
        <v>285065.80000000005</v>
      </c>
      <c r="E33" s="168">
        <f t="shared" ref="E33:F33" si="3">E34+E35+E36+E39+E40+E37+E38</f>
        <v>260963.69999999995</v>
      </c>
      <c r="F33" s="170" t="e">
        <f t="shared" si="3"/>
        <v>#DIV/0!</v>
      </c>
    </row>
    <row r="34" spans="2:6" s="4" customFormat="1">
      <c r="B34" s="62" t="s">
        <v>40</v>
      </c>
      <c r="C34" s="50" t="s">
        <v>41</v>
      </c>
      <c r="D34" s="169">
        <f>Целевые!F271</f>
        <v>54959.499999999993</v>
      </c>
      <c r="E34" s="169">
        <f>Целевые!G271</f>
        <v>48790.5</v>
      </c>
      <c r="F34" s="173" t="e">
        <f>Целевые!H271</f>
        <v>#DIV/0!</v>
      </c>
    </row>
    <row r="35" spans="2:6" s="4" customFormat="1">
      <c r="B35" s="62" t="s">
        <v>42</v>
      </c>
      <c r="C35" s="50" t="s">
        <v>43</v>
      </c>
      <c r="D35" s="169">
        <f>Целевые!F351</f>
        <v>192408.80000000002</v>
      </c>
      <c r="E35" s="169">
        <f>Целевые!G351</f>
        <v>176708.49999999997</v>
      </c>
      <c r="F35" s="173" t="e">
        <f>Целевые!H351</f>
        <v>#DIV/0!</v>
      </c>
    </row>
    <row r="36" spans="2:6" s="4" customFormat="1">
      <c r="B36" s="62" t="s">
        <v>203</v>
      </c>
      <c r="C36" s="50" t="s">
        <v>204</v>
      </c>
      <c r="D36" s="169">
        <f>Целевые!F507</f>
        <v>20901.5</v>
      </c>
      <c r="E36" s="169">
        <f>Целевые!G507</f>
        <v>19647.3</v>
      </c>
      <c r="F36" s="173" t="e">
        <f>Целевые!H507</f>
        <v>#DIV/0!</v>
      </c>
    </row>
    <row r="37" spans="2:6">
      <c r="B37" s="92" t="s">
        <v>755</v>
      </c>
      <c r="C37" s="50" t="s">
        <v>669</v>
      </c>
      <c r="D37" s="123">
        <f>Целевые!F540</f>
        <v>30</v>
      </c>
      <c r="E37" s="169">
        <f>Целевые!G540</f>
        <v>0</v>
      </c>
      <c r="F37" s="171" t="e">
        <f>Целевые!H540</f>
        <v>#DIV/0!</v>
      </c>
    </row>
    <row r="38" spans="2:6">
      <c r="B38" s="62" t="s">
        <v>756</v>
      </c>
      <c r="C38" s="50" t="s">
        <v>673</v>
      </c>
      <c r="D38" s="123">
        <f>Целевые!F544</f>
        <v>24</v>
      </c>
      <c r="E38" s="169">
        <f>Целевые!G544</f>
        <v>3</v>
      </c>
      <c r="F38" s="171">
        <f>Целевые!H544</f>
        <v>0.125</v>
      </c>
    </row>
    <row r="39" spans="2:6">
      <c r="B39" s="86" t="s">
        <v>318</v>
      </c>
      <c r="C39" s="80" t="s">
        <v>51</v>
      </c>
      <c r="D39" s="123">
        <f>Целевые!F547</f>
        <v>1820.3</v>
      </c>
      <c r="E39" s="169">
        <f>Целевые!G547</f>
        <v>1422</v>
      </c>
      <c r="F39" s="173" t="e">
        <f>Целевые!H547</f>
        <v>#DIV/0!</v>
      </c>
    </row>
    <row r="40" spans="2:6">
      <c r="B40" s="86" t="s">
        <v>52</v>
      </c>
      <c r="C40" s="80" t="s">
        <v>53</v>
      </c>
      <c r="D40" s="123">
        <f>Целевые!F576</f>
        <v>14921.7</v>
      </c>
      <c r="E40" s="169">
        <f>Целевые!G576</f>
        <v>14392.400000000001</v>
      </c>
      <c r="F40" s="173">
        <f>Целевые!H576</f>
        <v>6.5528303234222989</v>
      </c>
    </row>
    <row r="41" spans="2:6">
      <c r="B41" s="85" t="s">
        <v>44</v>
      </c>
      <c r="C41" s="18" t="s">
        <v>45</v>
      </c>
      <c r="D41" s="121">
        <f>D42+D43</f>
        <v>40724.699999999997</v>
      </c>
      <c r="E41" s="168">
        <f>E42+E43</f>
        <v>14004.300000000001</v>
      </c>
      <c r="F41" s="172" t="e">
        <f>F42+F43</f>
        <v>#DIV/0!</v>
      </c>
    </row>
    <row r="42" spans="2:6">
      <c r="B42" s="86" t="s">
        <v>46</v>
      </c>
      <c r="C42" s="80" t="s">
        <v>47</v>
      </c>
      <c r="D42" s="123">
        <f>Целевые!F592</f>
        <v>38660.699999999997</v>
      </c>
      <c r="E42" s="169">
        <f>Целевые!G592</f>
        <v>12178.2</v>
      </c>
      <c r="F42" s="173" t="e">
        <f>Целевые!H592</f>
        <v>#DIV/0!</v>
      </c>
    </row>
    <row r="43" spans="2:6">
      <c r="B43" s="86" t="s">
        <v>98</v>
      </c>
      <c r="C43" s="80" t="s">
        <v>63</v>
      </c>
      <c r="D43" s="123">
        <f>Целевые!F648</f>
        <v>2064</v>
      </c>
      <c r="E43" s="169">
        <f>Целевые!G648</f>
        <v>1826.1</v>
      </c>
      <c r="F43" s="173" t="e">
        <f>Целевые!H648</f>
        <v>#DIV/0!</v>
      </c>
    </row>
    <row r="44" spans="2:6">
      <c r="B44" s="85" t="s">
        <v>32</v>
      </c>
      <c r="C44" s="18" t="s">
        <v>33</v>
      </c>
      <c r="D44" s="121">
        <f>D45+D46+D47+D48</f>
        <v>22124.5</v>
      </c>
      <c r="E44" s="168">
        <f>E45+E46+E47+E48</f>
        <v>21334.2</v>
      </c>
      <c r="F44" s="172" t="e">
        <f>F45+F46+F47+F48</f>
        <v>#DIV/0!</v>
      </c>
    </row>
    <row r="45" spans="2:6">
      <c r="B45" s="86" t="s">
        <v>83</v>
      </c>
      <c r="C45" s="80" t="s">
        <v>56</v>
      </c>
      <c r="D45" s="123">
        <f>Целевые!F660</f>
        <v>830</v>
      </c>
      <c r="E45" s="169">
        <f>Целевые!G660</f>
        <v>790.1</v>
      </c>
      <c r="F45" s="173">
        <f>Целевые!H660</f>
        <v>0.95192771084337358</v>
      </c>
    </row>
    <row r="46" spans="2:6">
      <c r="B46" s="86" t="s">
        <v>34</v>
      </c>
      <c r="C46" s="80" t="s">
        <v>35</v>
      </c>
      <c r="D46" s="123">
        <f>Целевые!F664</f>
        <v>10234.1</v>
      </c>
      <c r="E46" s="169">
        <f>Целевые!G664</f>
        <v>9858.1</v>
      </c>
      <c r="F46" s="173" t="e">
        <f>Целевые!H664</f>
        <v>#DIV/0!</v>
      </c>
    </row>
    <row r="47" spans="2:6">
      <c r="B47" s="86" t="s">
        <v>48</v>
      </c>
      <c r="C47" s="80" t="s">
        <v>49</v>
      </c>
      <c r="D47" s="123">
        <f>Целевые!F676</f>
        <v>10427.299999999999</v>
      </c>
      <c r="E47" s="169">
        <f>Целевые!G676</f>
        <v>10074.299999999999</v>
      </c>
      <c r="F47" s="173">
        <f>Целевые!H676</f>
        <v>5.9109363464761699</v>
      </c>
    </row>
    <row r="48" spans="2:6">
      <c r="B48" s="86" t="s">
        <v>321</v>
      </c>
      <c r="C48" s="80" t="s">
        <v>322</v>
      </c>
      <c r="D48" s="123">
        <f>Целевые!F690</f>
        <v>633.1</v>
      </c>
      <c r="E48" s="169">
        <f>Целевые!G690</f>
        <v>611.70000000000005</v>
      </c>
      <c r="F48" s="173">
        <f>Целевые!H690</f>
        <v>1.9055057833859097</v>
      </c>
    </row>
    <row r="49" spans="2:6">
      <c r="B49" s="85" t="s">
        <v>84</v>
      </c>
      <c r="C49" s="18" t="s">
        <v>85</v>
      </c>
      <c r="D49" s="121">
        <f>D50</f>
        <v>62167.9</v>
      </c>
      <c r="E49" s="168">
        <f t="shared" ref="E49:F49" si="4">E50</f>
        <v>52428.200000000004</v>
      </c>
      <c r="F49" s="170" t="e">
        <f t="shared" si="4"/>
        <v>#DIV/0!</v>
      </c>
    </row>
    <row r="50" spans="2:6" ht="13.5" customHeight="1">
      <c r="B50" s="86" t="s">
        <v>323</v>
      </c>
      <c r="C50" s="80" t="s">
        <v>324</v>
      </c>
      <c r="D50" s="123">
        <f>Целевые!F695</f>
        <v>62167.9</v>
      </c>
      <c r="E50" s="169">
        <f>Целевые!G695</f>
        <v>52428.200000000004</v>
      </c>
      <c r="F50" s="173" t="e">
        <f>Целевые!H695</f>
        <v>#DIV/0!</v>
      </c>
    </row>
    <row r="51" spans="2:6">
      <c r="B51" s="85" t="s">
        <v>86</v>
      </c>
      <c r="C51" s="18" t="s">
        <v>87</v>
      </c>
      <c r="D51" s="121">
        <f>D52+D53</f>
        <v>2046.8</v>
      </c>
      <c r="E51" s="168">
        <f t="shared" ref="E51:F51" si="5">E52+E53</f>
        <v>1826.9</v>
      </c>
      <c r="F51" s="170">
        <f t="shared" si="5"/>
        <v>3.4348666666666667</v>
      </c>
    </row>
    <row r="52" spans="2:6">
      <c r="B52" s="86" t="s">
        <v>88</v>
      </c>
      <c r="C52" s="80" t="s">
        <v>55</v>
      </c>
      <c r="D52" s="123">
        <f>Целевые!F723</f>
        <v>2016.8</v>
      </c>
      <c r="E52" s="169">
        <f>Целевые!G723</f>
        <v>1800.9</v>
      </c>
      <c r="F52" s="173">
        <f>Целевые!H723</f>
        <v>2.5682</v>
      </c>
    </row>
    <row r="53" spans="2:6">
      <c r="B53" s="93" t="s">
        <v>823</v>
      </c>
      <c r="C53" s="50" t="s">
        <v>644</v>
      </c>
      <c r="D53" s="123">
        <f>Целевые!F731</f>
        <v>30</v>
      </c>
      <c r="E53" s="169">
        <f>Целевые!G731</f>
        <v>26</v>
      </c>
      <c r="F53" s="171">
        <f>Целевые!H731</f>
        <v>0.8666666666666667</v>
      </c>
    </row>
    <row r="54" spans="2:6">
      <c r="B54" s="74" t="s">
        <v>828</v>
      </c>
      <c r="C54" s="18" t="s">
        <v>527</v>
      </c>
      <c r="D54" s="121">
        <f>D55</f>
        <v>300</v>
      </c>
      <c r="E54" s="168">
        <f t="shared" ref="E54:F54" si="6">E55</f>
        <v>54.1</v>
      </c>
      <c r="F54" s="170">
        <f t="shared" si="6"/>
        <v>0.18033333333333335</v>
      </c>
    </row>
    <row r="55" spans="2:6">
      <c r="B55" s="87" t="s">
        <v>829</v>
      </c>
      <c r="C55" s="80" t="s">
        <v>528</v>
      </c>
      <c r="D55" s="123">
        <f>Целевые!F735</f>
        <v>300</v>
      </c>
      <c r="E55" s="169">
        <f>Целевые!G735</f>
        <v>54.1</v>
      </c>
      <c r="F55" s="171">
        <f>Целевые!H735</f>
        <v>0.18033333333333335</v>
      </c>
    </row>
    <row r="56" spans="2:6" ht="25.5">
      <c r="B56" s="85" t="s">
        <v>130</v>
      </c>
      <c r="C56" s="18" t="s">
        <v>132</v>
      </c>
      <c r="D56" s="121">
        <f>D57</f>
        <v>22016.799999999999</v>
      </c>
      <c r="E56" s="168">
        <f>E57</f>
        <v>22016.7</v>
      </c>
      <c r="F56" s="172">
        <f>F57</f>
        <v>2.9999792952089113</v>
      </c>
    </row>
    <row r="57" spans="2:6">
      <c r="B57" s="86" t="s">
        <v>131</v>
      </c>
      <c r="C57" s="80" t="s">
        <v>133</v>
      </c>
      <c r="D57" s="123">
        <f>Целевые!F740</f>
        <v>22016.799999999999</v>
      </c>
      <c r="E57" s="169">
        <f>Целевые!G740</f>
        <v>22016.7</v>
      </c>
      <c r="F57" s="173">
        <f>Целевые!H740</f>
        <v>2.9999792952089113</v>
      </c>
    </row>
    <row r="58" spans="2:6">
      <c r="B58" s="88" t="s">
        <v>60</v>
      </c>
      <c r="C58" s="79"/>
      <c r="D58" s="124">
        <f>D10+D18+D22+D28+D31+D33+D41+D44+D49+D51+D56+D54</f>
        <v>627635.50000000012</v>
      </c>
      <c r="E58" s="120">
        <f>E10+E18+E22+E28+E31+E33+E41+E44+E49+E51+E56+E54</f>
        <v>553535.19999999984</v>
      </c>
      <c r="F58" s="120" t="e">
        <f>F10+F18+F22+F28+F31+F33+F41+F44+F49+F51+F56+F54</f>
        <v>#DIV/0!</v>
      </c>
    </row>
    <row r="59" spans="2:6">
      <c r="B59" s="85" t="s">
        <v>191</v>
      </c>
      <c r="C59" s="81"/>
      <c r="D59" s="122">
        <v>-26086.1</v>
      </c>
      <c r="E59" s="120">
        <v>-112.3</v>
      </c>
      <c r="F59" s="119">
        <v>0</v>
      </c>
    </row>
    <row r="60" spans="2:6">
      <c r="B60" s="85" t="s">
        <v>192</v>
      </c>
      <c r="C60" s="81"/>
      <c r="D60" s="125">
        <v>0</v>
      </c>
      <c r="E60" s="118">
        <v>0</v>
      </c>
      <c r="F60" s="119">
        <v>4619.1000000000004</v>
      </c>
    </row>
    <row r="61" spans="2:6">
      <c r="B61" s="89"/>
      <c r="C61" s="82"/>
      <c r="D61" s="126"/>
    </row>
    <row r="62" spans="2:6">
      <c r="D62" s="127">
        <f>D58-Целевые!F745</f>
        <v>0</v>
      </c>
      <c r="E62" s="53">
        <f>E58-Целевые!G745</f>
        <v>0</v>
      </c>
      <c r="F62" s="53" t="e">
        <f>F58-Целевые!H745</f>
        <v>#DIV/0!</v>
      </c>
    </row>
  </sheetData>
  <mergeCells count="9">
    <mergeCell ref="C1:F3"/>
    <mergeCell ref="F7:F8"/>
    <mergeCell ref="B5:F5"/>
    <mergeCell ref="B4:E4"/>
    <mergeCell ref="C7:C8"/>
    <mergeCell ref="B7:B8"/>
    <mergeCell ref="D7:D8"/>
    <mergeCell ref="E7:E8"/>
    <mergeCell ref="D6:F6"/>
  </mergeCells>
  <phoneticPr fontId="1" type="noConversion"/>
  <pageMargins left="0.70866141732283472" right="0.11811023622047245" top="0.15748031496062992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751"/>
  <sheetViews>
    <sheetView view="pageBreakPreview" topLeftCell="A703" zoomScaleSheetLayoutView="100" workbookViewId="0">
      <selection activeCell="E712" sqref="E712"/>
    </sheetView>
  </sheetViews>
  <sheetFormatPr defaultColWidth="9.140625" defaultRowHeight="12.75" outlineLevelRow="1"/>
  <cols>
    <col min="1" max="1" width="0.140625" style="4" customWidth="1"/>
    <col min="2" max="2" width="64.5703125" style="77" customWidth="1"/>
    <col min="3" max="3" width="7.5703125" style="70" customWidth="1"/>
    <col min="4" max="4" width="13" style="70" customWidth="1"/>
    <col min="5" max="5" width="6.42578125" style="70" customWidth="1"/>
    <col min="6" max="6" width="9.7109375" style="111" customWidth="1"/>
    <col min="7" max="8" width="10.85546875" style="111" customWidth="1"/>
    <col min="9" max="16384" width="9.140625" style="4"/>
  </cols>
  <sheetData>
    <row r="1" spans="2:14">
      <c r="D1" s="228"/>
      <c r="E1" s="228"/>
      <c r="F1" s="228"/>
      <c r="G1" s="228"/>
      <c r="H1" s="228"/>
    </row>
    <row r="2" spans="2:14" ht="15" customHeight="1">
      <c r="B2" s="73" t="s">
        <v>880</v>
      </c>
      <c r="D2" s="228"/>
      <c r="E2" s="228"/>
      <c r="F2" s="228"/>
      <c r="G2" s="228"/>
      <c r="H2" s="228"/>
    </row>
    <row r="3" spans="2:14">
      <c r="B3" s="73"/>
      <c r="D3" s="228"/>
      <c r="E3" s="228"/>
      <c r="F3" s="228"/>
      <c r="G3" s="228"/>
      <c r="H3" s="228"/>
    </row>
    <row r="4" spans="2:14" ht="27" customHeight="1">
      <c r="B4" s="229" t="s">
        <v>772</v>
      </c>
      <c r="C4" s="229"/>
      <c r="D4" s="229"/>
      <c r="E4" s="229"/>
      <c r="F4" s="230"/>
      <c r="G4" s="230"/>
      <c r="H4" s="230"/>
    </row>
    <row r="5" spans="2:14">
      <c r="B5" s="94"/>
      <c r="C5" s="201"/>
      <c r="D5" s="201"/>
      <c r="E5" s="201"/>
      <c r="F5" s="236" t="s">
        <v>0</v>
      </c>
      <c r="G5" s="236"/>
      <c r="H5" s="236"/>
    </row>
    <row r="6" spans="2:14">
      <c r="B6" s="231" t="s">
        <v>1</v>
      </c>
      <c r="C6" s="233" t="s">
        <v>3</v>
      </c>
      <c r="D6" s="233" t="s">
        <v>4</v>
      </c>
      <c r="E6" s="233" t="s">
        <v>5</v>
      </c>
      <c r="F6" s="225" t="s">
        <v>344</v>
      </c>
      <c r="G6" s="214" t="s">
        <v>419</v>
      </c>
      <c r="H6" s="214" t="s">
        <v>643</v>
      </c>
    </row>
    <row r="7" spans="2:14">
      <c r="B7" s="232"/>
      <c r="C7" s="234"/>
      <c r="D7" s="234"/>
      <c r="E7" s="234"/>
      <c r="F7" s="235"/>
      <c r="G7" s="215"/>
      <c r="H7" s="215"/>
    </row>
    <row r="8" spans="2:14">
      <c r="B8" s="11" t="s">
        <v>6</v>
      </c>
      <c r="C8" s="11" t="s">
        <v>7</v>
      </c>
      <c r="D8" s="11" t="s">
        <v>8</v>
      </c>
      <c r="E8" s="11" t="s">
        <v>9</v>
      </c>
      <c r="F8" s="113">
        <v>5</v>
      </c>
      <c r="G8" s="114">
        <v>6</v>
      </c>
      <c r="H8" s="114">
        <v>7</v>
      </c>
    </row>
    <row r="9" spans="2:14">
      <c r="B9" s="74" t="s">
        <v>13</v>
      </c>
      <c r="C9" s="11" t="s">
        <v>14</v>
      </c>
      <c r="D9" s="11" t="s">
        <v>12</v>
      </c>
      <c r="E9" s="11"/>
      <c r="F9" s="108">
        <f>F14+F26+F52+F66+F70+F10+F49</f>
        <v>54253.599999999991</v>
      </c>
      <c r="G9" s="108">
        <f t="shared" ref="G9:H9" si="0">G14+G26+G52+G66+G70+G10+G49</f>
        <v>51654.499999999993</v>
      </c>
      <c r="H9" s="108" t="e">
        <f t="shared" si="0"/>
        <v>#DIV/0!</v>
      </c>
    </row>
    <row r="10" spans="2:14" ht="25.5">
      <c r="B10" s="74" t="s">
        <v>340</v>
      </c>
      <c r="C10" s="11" t="s">
        <v>341</v>
      </c>
      <c r="D10" s="11"/>
      <c r="E10" s="11"/>
      <c r="F10" s="108">
        <f>F11+F12</f>
        <v>1356.6</v>
      </c>
      <c r="G10" s="108">
        <f t="shared" ref="G10:H10" si="1">G11+G12</f>
        <v>1323.1</v>
      </c>
      <c r="H10" s="108">
        <f t="shared" si="1"/>
        <v>1.9744469870327994</v>
      </c>
      <c r="I10" s="32">
        <f>Ведомственная!G25</f>
        <v>1356.6</v>
      </c>
      <c r="J10" s="32">
        <f>Ведомственная!H25</f>
        <v>1323.1</v>
      </c>
      <c r="K10" s="32">
        <f>Ведомственная!I25</f>
        <v>0.97530591183841953</v>
      </c>
      <c r="L10" s="32">
        <f>I10-F10</f>
        <v>0</v>
      </c>
      <c r="M10" s="32">
        <f t="shared" ref="M10:N10" si="2">J10-G10</f>
        <v>0</v>
      </c>
      <c r="N10" s="32">
        <f t="shared" si="2"/>
        <v>-0.99914107519437989</v>
      </c>
    </row>
    <row r="11" spans="2:14">
      <c r="B11" s="62" t="s">
        <v>342</v>
      </c>
      <c r="C11" s="50" t="s">
        <v>341</v>
      </c>
      <c r="D11" s="50" t="s">
        <v>343</v>
      </c>
      <c r="E11" s="50" t="s">
        <v>18</v>
      </c>
      <c r="F11" s="110">
        <f>Ведомственная!G26</f>
        <v>1311</v>
      </c>
      <c r="G11" s="110">
        <f>Ведомственная!H26</f>
        <v>1277.5</v>
      </c>
      <c r="H11" s="110">
        <f>Ведомственная!I26</f>
        <v>0.97444698703279942</v>
      </c>
    </row>
    <row r="12" spans="2:14" ht="38.25">
      <c r="B12" s="15" t="s">
        <v>927</v>
      </c>
      <c r="C12" s="50" t="s">
        <v>341</v>
      </c>
      <c r="D12" s="157" t="s">
        <v>928</v>
      </c>
      <c r="E12" s="50"/>
      <c r="F12" s="110">
        <f>F13</f>
        <v>45.6</v>
      </c>
      <c r="G12" s="110">
        <f t="shared" ref="G12:H12" si="3">G13</f>
        <v>45.6</v>
      </c>
      <c r="H12" s="110">
        <f t="shared" si="3"/>
        <v>1</v>
      </c>
    </row>
    <row r="13" spans="2:14" ht="51">
      <c r="B13" s="15" t="s">
        <v>17</v>
      </c>
      <c r="C13" s="50" t="s">
        <v>341</v>
      </c>
      <c r="D13" s="157" t="s">
        <v>928</v>
      </c>
      <c r="E13" s="50" t="s">
        <v>18</v>
      </c>
      <c r="F13" s="110">
        <f>Ведомственная!G27</f>
        <v>45.6</v>
      </c>
      <c r="G13" s="110">
        <f>Ведомственная!H27</f>
        <v>45.6</v>
      </c>
      <c r="H13" s="110">
        <f>Ведомственная!I27</f>
        <v>1</v>
      </c>
    </row>
    <row r="14" spans="2:14" ht="38.25">
      <c r="B14" s="74" t="s">
        <v>15</v>
      </c>
      <c r="C14" s="11" t="s">
        <v>16</v>
      </c>
      <c r="D14" s="11" t="s">
        <v>12</v>
      </c>
      <c r="E14" s="11" t="s">
        <v>12</v>
      </c>
      <c r="F14" s="108">
        <f>F15+F23+F21</f>
        <v>1219</v>
      </c>
      <c r="G14" s="108">
        <f t="shared" ref="G14:H14" si="4">G15+G23+G21</f>
        <v>1215.5999999999999</v>
      </c>
      <c r="H14" s="108" t="e">
        <f t="shared" si="4"/>
        <v>#DIV/0!</v>
      </c>
      <c r="I14" s="32">
        <f>Ведомственная!G11</f>
        <v>1219</v>
      </c>
      <c r="J14" s="32">
        <f>Ведомственная!H11</f>
        <v>1215.5999999999999</v>
      </c>
      <c r="K14" s="32">
        <f>Ведомственная!I11</f>
        <v>0.99721082854799004</v>
      </c>
      <c r="L14" s="32">
        <f>I14-F14</f>
        <v>0</v>
      </c>
      <c r="M14" s="32">
        <f t="shared" ref="M14" si="5">J14-G14</f>
        <v>0</v>
      </c>
      <c r="N14" s="32" t="e">
        <f t="shared" ref="N14" si="6">K14-H14</f>
        <v>#DIV/0!</v>
      </c>
    </row>
    <row r="15" spans="2:14" ht="25.5" outlineLevel="1">
      <c r="B15" s="62" t="s">
        <v>104</v>
      </c>
      <c r="C15" s="50" t="s">
        <v>16</v>
      </c>
      <c r="D15" s="50" t="s">
        <v>137</v>
      </c>
      <c r="E15" s="50" t="s">
        <v>12</v>
      </c>
      <c r="F15" s="110">
        <f>F16+F19</f>
        <v>1215</v>
      </c>
      <c r="G15" s="110">
        <f t="shared" ref="G15:H15" si="7">G16+G19</f>
        <v>1213.5</v>
      </c>
      <c r="H15" s="110" t="e">
        <f t="shared" si="7"/>
        <v>#DIV/0!</v>
      </c>
    </row>
    <row r="16" spans="2:14" outlineLevel="1">
      <c r="B16" s="62" t="s">
        <v>95</v>
      </c>
      <c r="C16" s="50" t="s">
        <v>16</v>
      </c>
      <c r="D16" s="50" t="s">
        <v>138</v>
      </c>
      <c r="E16" s="50"/>
      <c r="F16" s="110">
        <f>F17+F18</f>
        <v>1215</v>
      </c>
      <c r="G16" s="110">
        <f t="shared" ref="G16:H16" si="8">G17+G18</f>
        <v>1213.5</v>
      </c>
      <c r="H16" s="110">
        <f t="shared" si="8"/>
        <v>1.6499174236168457</v>
      </c>
    </row>
    <row r="17" spans="2:14" ht="43.5" customHeight="1" outlineLevel="1">
      <c r="B17" s="62" t="s">
        <v>17</v>
      </c>
      <c r="C17" s="50" t="s">
        <v>16</v>
      </c>
      <c r="D17" s="50" t="s">
        <v>138</v>
      </c>
      <c r="E17" s="50" t="s">
        <v>18</v>
      </c>
      <c r="F17" s="110">
        <f>Ведомственная!G14</f>
        <v>1211</v>
      </c>
      <c r="G17" s="110">
        <f>Ведомственная!H14</f>
        <v>1210.9000000000001</v>
      </c>
      <c r="H17" s="110">
        <f>Ведомственная!I14</f>
        <v>0.99991742361684566</v>
      </c>
    </row>
    <row r="18" spans="2:14">
      <c r="B18" s="62" t="s">
        <v>19</v>
      </c>
      <c r="C18" s="50" t="s">
        <v>16</v>
      </c>
      <c r="D18" s="50" t="s">
        <v>138</v>
      </c>
      <c r="E18" s="50" t="s">
        <v>20</v>
      </c>
      <c r="F18" s="110">
        <f>Ведомственная!G15</f>
        <v>4</v>
      </c>
      <c r="G18" s="110">
        <f>Ведомственная!H15</f>
        <v>2.6</v>
      </c>
      <c r="H18" s="110">
        <f>Ведомственная!I15</f>
        <v>0.65</v>
      </c>
      <c r="M18" s="4" t="s">
        <v>338</v>
      </c>
    </row>
    <row r="19" spans="2:14" hidden="1" outlineLevel="1">
      <c r="B19" s="62" t="s">
        <v>534</v>
      </c>
      <c r="C19" s="50" t="s">
        <v>16</v>
      </c>
      <c r="D19" s="50" t="s">
        <v>535</v>
      </c>
      <c r="E19" s="50"/>
      <c r="F19" s="110">
        <f>F20</f>
        <v>0</v>
      </c>
      <c r="G19" s="110">
        <f t="shared" ref="G19:H19" si="9">G20</f>
        <v>0</v>
      </c>
      <c r="H19" s="110" t="e">
        <f t="shared" si="9"/>
        <v>#DIV/0!</v>
      </c>
    </row>
    <row r="20" spans="2:14" ht="43.5" hidden="1" customHeight="1" outlineLevel="1">
      <c r="B20" s="62" t="s">
        <v>17</v>
      </c>
      <c r="C20" s="50" t="s">
        <v>16</v>
      </c>
      <c r="D20" s="50" t="s">
        <v>535</v>
      </c>
      <c r="E20" s="50" t="s">
        <v>18</v>
      </c>
      <c r="F20" s="110">
        <f>Ведомственная!G17</f>
        <v>0</v>
      </c>
      <c r="G20" s="110">
        <f>Ведомственная!H17</f>
        <v>0</v>
      </c>
      <c r="H20" s="110" t="e">
        <f>Ведомственная!I17</f>
        <v>#DIV/0!</v>
      </c>
    </row>
    <row r="21" spans="2:14" ht="18" customHeight="1" outlineLevel="1">
      <c r="B21" s="15" t="s">
        <v>534</v>
      </c>
      <c r="C21" s="50" t="s">
        <v>16</v>
      </c>
      <c r="D21" s="50" t="s">
        <v>535</v>
      </c>
      <c r="E21" s="50"/>
      <c r="F21" s="110">
        <f>F22</f>
        <v>3</v>
      </c>
      <c r="G21" s="110">
        <f t="shared" ref="G21:H21" si="10">G22</f>
        <v>1.1000000000000001</v>
      </c>
      <c r="H21" s="110">
        <f t="shared" si="10"/>
        <v>0.3666666666666667</v>
      </c>
    </row>
    <row r="22" spans="2:14" ht="43.5" customHeight="1" outlineLevel="1">
      <c r="B22" s="15" t="s">
        <v>17</v>
      </c>
      <c r="C22" s="50" t="s">
        <v>16</v>
      </c>
      <c r="D22" s="50" t="s">
        <v>535</v>
      </c>
      <c r="E22" s="50" t="s">
        <v>18</v>
      </c>
      <c r="F22" s="110">
        <f>Ведомственная!G19</f>
        <v>3</v>
      </c>
      <c r="G22" s="110">
        <f>Ведомственная!H19</f>
        <v>1.1000000000000001</v>
      </c>
      <c r="H22" s="110">
        <f>Ведомственная!I19</f>
        <v>0.3666666666666667</v>
      </c>
    </row>
    <row r="23" spans="2:14">
      <c r="B23" s="62" t="s">
        <v>72</v>
      </c>
      <c r="C23" s="50" t="s">
        <v>16</v>
      </c>
      <c r="D23" s="50" t="s">
        <v>139</v>
      </c>
      <c r="E23" s="50"/>
      <c r="F23" s="110">
        <f t="shared" ref="F23:H24" si="11">F24</f>
        <v>1</v>
      </c>
      <c r="G23" s="110">
        <f t="shared" si="11"/>
        <v>1</v>
      </c>
      <c r="H23" s="110">
        <f t="shared" si="11"/>
        <v>1</v>
      </c>
    </row>
    <row r="24" spans="2:14">
      <c r="B24" s="62" t="s">
        <v>100</v>
      </c>
      <c r="C24" s="50" t="s">
        <v>16</v>
      </c>
      <c r="D24" s="50" t="s">
        <v>151</v>
      </c>
      <c r="E24" s="50"/>
      <c r="F24" s="110">
        <f t="shared" si="11"/>
        <v>1</v>
      </c>
      <c r="G24" s="110">
        <f t="shared" si="11"/>
        <v>1</v>
      </c>
      <c r="H24" s="110">
        <f t="shared" si="11"/>
        <v>1</v>
      </c>
    </row>
    <row r="25" spans="2:14">
      <c r="B25" s="62" t="s">
        <v>21</v>
      </c>
      <c r="C25" s="50" t="s">
        <v>16</v>
      </c>
      <c r="D25" s="50" t="s">
        <v>151</v>
      </c>
      <c r="E25" s="50" t="s">
        <v>22</v>
      </c>
      <c r="F25" s="110">
        <f>Ведомственная!G22</f>
        <v>1</v>
      </c>
      <c r="G25" s="110">
        <f>Ведомственная!H22</f>
        <v>1</v>
      </c>
      <c r="H25" s="110">
        <f>Ведомственная!I22</f>
        <v>1</v>
      </c>
    </row>
    <row r="26" spans="2:14" ht="25.5">
      <c r="B26" s="74" t="s">
        <v>360</v>
      </c>
      <c r="C26" s="11" t="s">
        <v>29</v>
      </c>
      <c r="D26" s="11" t="s">
        <v>12</v>
      </c>
      <c r="E26" s="11" t="s">
        <v>12</v>
      </c>
      <c r="F26" s="108">
        <f>F27+F32</f>
        <v>17875.400000000001</v>
      </c>
      <c r="G26" s="108">
        <f t="shared" ref="G26:H26" si="12">G27+G32</f>
        <v>17286.900000000001</v>
      </c>
      <c r="H26" s="108" t="e">
        <f t="shared" si="12"/>
        <v>#DIV/0!</v>
      </c>
      <c r="I26" s="32">
        <f>Ведомственная!G29</f>
        <v>17875.400000000001</v>
      </c>
      <c r="J26" s="32">
        <f>Ведомственная!H29</f>
        <v>17443.400000000001</v>
      </c>
      <c r="K26" s="32">
        <f>Ведомственная!I29</f>
        <v>0.97583270863868776</v>
      </c>
      <c r="L26" s="32">
        <f>I26-F26</f>
        <v>0</v>
      </c>
      <c r="M26" s="32">
        <f t="shared" ref="M26" si="13">J26-G26</f>
        <v>156.5</v>
      </c>
      <c r="N26" s="32" t="e">
        <f t="shared" ref="N26" si="14">K26-H26</f>
        <v>#DIV/0!</v>
      </c>
    </row>
    <row r="27" spans="2:14" ht="25.5">
      <c r="B27" s="62" t="s">
        <v>104</v>
      </c>
      <c r="C27" s="50" t="s">
        <v>29</v>
      </c>
      <c r="D27" s="50" t="s">
        <v>137</v>
      </c>
      <c r="E27" s="50"/>
      <c r="F27" s="110">
        <f>F35+F38+F41+F44+F28+F47</f>
        <v>17617.400000000001</v>
      </c>
      <c r="G27" s="110">
        <f t="shared" ref="G27:H27" si="15">G35+G38+G41+G44+G28</f>
        <v>17029</v>
      </c>
      <c r="H27" s="110" t="e">
        <f t="shared" si="15"/>
        <v>#DIV/0!</v>
      </c>
    </row>
    <row r="28" spans="2:14">
      <c r="B28" s="62" t="s">
        <v>95</v>
      </c>
      <c r="C28" s="50" t="s">
        <v>29</v>
      </c>
      <c r="D28" s="50" t="s">
        <v>138</v>
      </c>
      <c r="E28" s="50"/>
      <c r="F28" s="110">
        <f>F29+F30+F31</f>
        <v>15536.400000000001</v>
      </c>
      <c r="G28" s="110">
        <f t="shared" ref="G28:H28" si="16">G29+G30+G31</f>
        <v>15187.4</v>
      </c>
      <c r="H28" s="110" t="e">
        <f t="shared" si="16"/>
        <v>#DIV/0!</v>
      </c>
    </row>
    <row r="29" spans="2:14" ht="45.75" customHeight="1">
      <c r="B29" s="62" t="s">
        <v>17</v>
      </c>
      <c r="C29" s="50" t="s">
        <v>29</v>
      </c>
      <c r="D29" s="50" t="s">
        <v>138</v>
      </c>
      <c r="E29" s="50" t="s">
        <v>18</v>
      </c>
      <c r="F29" s="110">
        <f>Ведомственная!G32</f>
        <v>15078.400000000001</v>
      </c>
      <c r="G29" s="110">
        <f>Ведомственная!H32</f>
        <v>14936.6</v>
      </c>
      <c r="H29" s="110">
        <f>Ведомственная!I32</f>
        <v>0.99059581918505935</v>
      </c>
    </row>
    <row r="30" spans="2:14">
      <c r="B30" s="62" t="s">
        <v>19</v>
      </c>
      <c r="C30" s="50" t="s">
        <v>29</v>
      </c>
      <c r="D30" s="50" t="s">
        <v>138</v>
      </c>
      <c r="E30" s="50" t="s">
        <v>20</v>
      </c>
      <c r="F30" s="110">
        <f>Ведомственная!G33</f>
        <v>458</v>
      </c>
      <c r="G30" s="110">
        <f>Ведомственная!H33</f>
        <v>250.8</v>
      </c>
      <c r="H30" s="110">
        <f>Ведомственная!I33</f>
        <v>0.54759825327510925</v>
      </c>
    </row>
    <row r="31" spans="2:14" ht="25.5" hidden="1">
      <c r="B31" s="62" t="s">
        <v>566</v>
      </c>
      <c r="C31" s="50" t="s">
        <v>29</v>
      </c>
      <c r="D31" s="50" t="s">
        <v>138</v>
      </c>
      <c r="E31" s="50" t="s">
        <v>26</v>
      </c>
      <c r="F31" s="110">
        <f>Ведомственная!G34</f>
        <v>0</v>
      </c>
      <c r="G31" s="110">
        <f>Ведомственная!H34</f>
        <v>0</v>
      </c>
      <c r="H31" s="110" t="e">
        <f>Ведомственная!I34</f>
        <v>#DIV/0!</v>
      </c>
    </row>
    <row r="32" spans="2:14">
      <c r="B32" s="62" t="s">
        <v>72</v>
      </c>
      <c r="C32" s="50" t="s">
        <v>29</v>
      </c>
      <c r="D32" s="50" t="s">
        <v>139</v>
      </c>
      <c r="E32" s="50"/>
      <c r="F32" s="110">
        <f>F33</f>
        <v>258</v>
      </c>
      <c r="G32" s="110">
        <f t="shared" ref="G32:H33" si="17">G33</f>
        <v>257.89999999999998</v>
      </c>
      <c r="H32" s="110">
        <f t="shared" si="17"/>
        <v>0.99961240310077515</v>
      </c>
    </row>
    <row r="33" spans="2:8">
      <c r="B33" s="62" t="s">
        <v>100</v>
      </c>
      <c r="C33" s="50" t="s">
        <v>29</v>
      </c>
      <c r="D33" s="50" t="s">
        <v>151</v>
      </c>
      <c r="E33" s="50"/>
      <c r="F33" s="110">
        <f>F34</f>
        <v>258</v>
      </c>
      <c r="G33" s="110">
        <f t="shared" si="17"/>
        <v>257.89999999999998</v>
      </c>
      <c r="H33" s="110">
        <f t="shared" si="17"/>
        <v>0.99961240310077515</v>
      </c>
    </row>
    <row r="34" spans="2:8">
      <c r="B34" s="62" t="s">
        <v>21</v>
      </c>
      <c r="C34" s="50" t="s">
        <v>29</v>
      </c>
      <c r="D34" s="50" t="s">
        <v>151</v>
      </c>
      <c r="E34" s="50" t="s">
        <v>22</v>
      </c>
      <c r="F34" s="110">
        <f>Ведомственная!G37</f>
        <v>258</v>
      </c>
      <c r="G34" s="110">
        <f>Ведомственная!H37</f>
        <v>257.89999999999998</v>
      </c>
      <c r="H34" s="110">
        <f>Ведомственная!I37</f>
        <v>0.99961240310077515</v>
      </c>
    </row>
    <row r="35" spans="2:8" ht="25.5">
      <c r="B35" s="62" t="s">
        <v>107</v>
      </c>
      <c r="C35" s="50" t="s">
        <v>29</v>
      </c>
      <c r="D35" s="50" t="s">
        <v>140</v>
      </c>
      <c r="E35" s="50"/>
      <c r="F35" s="110">
        <f>F36+F37</f>
        <v>298.10000000000002</v>
      </c>
      <c r="G35" s="110">
        <f t="shared" ref="G35:H35" si="18">G36+G37</f>
        <v>298.10000000000002</v>
      </c>
      <c r="H35" s="110">
        <f t="shared" si="18"/>
        <v>2</v>
      </c>
    </row>
    <row r="36" spans="2:8" ht="41.25" customHeight="1">
      <c r="B36" s="62" t="s">
        <v>17</v>
      </c>
      <c r="C36" s="50" t="s">
        <v>29</v>
      </c>
      <c r="D36" s="50" t="s">
        <v>140</v>
      </c>
      <c r="E36" s="50" t="s">
        <v>18</v>
      </c>
      <c r="F36" s="110">
        <f>Ведомственная!G39</f>
        <v>286</v>
      </c>
      <c r="G36" s="110">
        <f>Ведомственная!H39</f>
        <v>286</v>
      </c>
      <c r="H36" s="110">
        <f>Ведомственная!I39</f>
        <v>1</v>
      </c>
    </row>
    <row r="37" spans="2:8">
      <c r="B37" s="62" t="s">
        <v>19</v>
      </c>
      <c r="C37" s="50" t="s">
        <v>29</v>
      </c>
      <c r="D37" s="50" t="s">
        <v>140</v>
      </c>
      <c r="E37" s="50" t="s">
        <v>20</v>
      </c>
      <c r="F37" s="110">
        <f>Ведомственная!G40</f>
        <v>12.099999999999998</v>
      </c>
      <c r="G37" s="110">
        <f>Ведомственная!H40</f>
        <v>12.1</v>
      </c>
      <c r="H37" s="110">
        <f>Ведомственная!I40</f>
        <v>1.0000000000000002</v>
      </c>
    </row>
    <row r="38" spans="2:8">
      <c r="B38" s="62" t="s">
        <v>108</v>
      </c>
      <c r="C38" s="50" t="s">
        <v>29</v>
      </c>
      <c r="D38" s="50" t="s">
        <v>141</v>
      </c>
      <c r="E38" s="50"/>
      <c r="F38" s="110">
        <f>F39+F40</f>
        <v>980.9</v>
      </c>
      <c r="G38" s="110">
        <f t="shared" ref="G38:H38" si="19">G39+G40</f>
        <v>903.7</v>
      </c>
      <c r="H38" s="110">
        <f t="shared" si="19"/>
        <v>1.7914943212434551</v>
      </c>
    </row>
    <row r="39" spans="2:8" ht="40.5" customHeight="1">
      <c r="B39" s="62" t="s">
        <v>17</v>
      </c>
      <c r="C39" s="50" t="s">
        <v>29</v>
      </c>
      <c r="D39" s="50" t="s">
        <v>141</v>
      </c>
      <c r="E39" s="50" t="s">
        <v>18</v>
      </c>
      <c r="F39" s="110">
        <f>Ведомственная!G42</f>
        <v>877</v>
      </c>
      <c r="G39" s="110">
        <f>Ведомственная!H42</f>
        <v>814</v>
      </c>
      <c r="H39" s="110">
        <f>Ведомственная!I42</f>
        <v>0.92816419612314705</v>
      </c>
    </row>
    <row r="40" spans="2:8">
      <c r="B40" s="62" t="s">
        <v>19</v>
      </c>
      <c r="C40" s="50" t="s">
        <v>29</v>
      </c>
      <c r="D40" s="50" t="s">
        <v>141</v>
      </c>
      <c r="E40" s="50" t="s">
        <v>20</v>
      </c>
      <c r="F40" s="110">
        <f>Ведомственная!G43</f>
        <v>103.9</v>
      </c>
      <c r="G40" s="110">
        <f>Ведомственная!H43</f>
        <v>89.7</v>
      </c>
      <c r="H40" s="110">
        <f>Ведомственная!I43</f>
        <v>0.86333012512030793</v>
      </c>
    </row>
    <row r="41" spans="2:8" ht="25.5">
      <c r="B41" s="62" t="s">
        <v>109</v>
      </c>
      <c r="C41" s="50" t="s">
        <v>29</v>
      </c>
      <c r="D41" s="50" t="s">
        <v>142</v>
      </c>
      <c r="E41" s="50"/>
      <c r="F41" s="110">
        <f>F42+F43</f>
        <v>324.3</v>
      </c>
      <c r="G41" s="110">
        <f t="shared" ref="G41:H41" si="20">G42+G43</f>
        <v>324.3</v>
      </c>
      <c r="H41" s="110">
        <f t="shared" si="20"/>
        <v>1</v>
      </c>
    </row>
    <row r="42" spans="2:8" ht="42.75" customHeight="1">
      <c r="B42" s="62" t="s">
        <v>17</v>
      </c>
      <c r="C42" s="50" t="s">
        <v>29</v>
      </c>
      <c r="D42" s="50" t="s">
        <v>142</v>
      </c>
      <c r="E42" s="50" t="s">
        <v>18</v>
      </c>
      <c r="F42" s="110">
        <f>Ведомственная!G45</f>
        <v>324.3</v>
      </c>
      <c r="G42" s="110">
        <f>Ведомственная!H45</f>
        <v>324.3</v>
      </c>
      <c r="H42" s="110">
        <f>Ведомственная!I45</f>
        <v>1</v>
      </c>
    </row>
    <row r="43" spans="2:8">
      <c r="B43" s="62" t="s">
        <v>19</v>
      </c>
      <c r="C43" s="50" t="s">
        <v>29</v>
      </c>
      <c r="D43" s="50" t="s">
        <v>142</v>
      </c>
      <c r="E43" s="50" t="s">
        <v>20</v>
      </c>
      <c r="F43" s="110">
        <f>Ведомственная!G46</f>
        <v>0</v>
      </c>
      <c r="G43" s="110">
        <f>Ведомственная!H46</f>
        <v>0</v>
      </c>
      <c r="H43" s="110">
        <f>Ведомственная!I46</f>
        <v>0</v>
      </c>
    </row>
    <row r="44" spans="2:8" ht="38.25">
      <c r="B44" s="62" t="s">
        <v>110</v>
      </c>
      <c r="C44" s="50" t="s">
        <v>29</v>
      </c>
      <c r="D44" s="50" t="s">
        <v>143</v>
      </c>
      <c r="E44" s="50"/>
      <c r="F44" s="110">
        <f>F45+F46</f>
        <v>321.2</v>
      </c>
      <c r="G44" s="110">
        <f t="shared" ref="G44:H44" si="21">G45+G46</f>
        <v>315.5</v>
      </c>
      <c r="H44" s="110">
        <f t="shared" si="21"/>
        <v>1.9694756207294333</v>
      </c>
    </row>
    <row r="45" spans="2:8" ht="44.25" customHeight="1">
      <c r="B45" s="62" t="s">
        <v>17</v>
      </c>
      <c r="C45" s="50" t="s">
        <v>29</v>
      </c>
      <c r="D45" s="50" t="s">
        <v>143</v>
      </c>
      <c r="E45" s="50" t="s">
        <v>18</v>
      </c>
      <c r="F45" s="110">
        <f>Ведомственная!G48</f>
        <v>203.4</v>
      </c>
      <c r="G45" s="110">
        <f>Ведомственная!H48</f>
        <v>198.4</v>
      </c>
      <c r="H45" s="110">
        <f>Ведомственная!I48</f>
        <v>0.9754178957718781</v>
      </c>
    </row>
    <row r="46" spans="2:8">
      <c r="B46" s="62" t="s">
        <v>19</v>
      </c>
      <c r="C46" s="50" t="s">
        <v>29</v>
      </c>
      <c r="D46" s="50" t="s">
        <v>143</v>
      </c>
      <c r="E46" s="50" t="s">
        <v>20</v>
      </c>
      <c r="F46" s="110">
        <f>Ведомственная!G49</f>
        <v>117.8</v>
      </c>
      <c r="G46" s="110">
        <f>Ведомственная!H49</f>
        <v>117.1</v>
      </c>
      <c r="H46" s="110">
        <f>Ведомственная!I49</f>
        <v>0.99405772495755518</v>
      </c>
    </row>
    <row r="47" spans="2:8" ht="38.25">
      <c r="B47" s="15" t="s">
        <v>927</v>
      </c>
      <c r="C47" s="50" t="s">
        <v>29</v>
      </c>
      <c r="D47" s="157" t="s">
        <v>928</v>
      </c>
      <c r="E47" s="50"/>
      <c r="F47" s="110">
        <f>F48</f>
        <v>156.5</v>
      </c>
      <c r="G47" s="110">
        <f t="shared" ref="G47:H47" si="22">G48</f>
        <v>156.5</v>
      </c>
      <c r="H47" s="110">
        <f t="shared" si="22"/>
        <v>1</v>
      </c>
    </row>
    <row r="48" spans="2:8" ht="51">
      <c r="B48" s="15" t="s">
        <v>17</v>
      </c>
      <c r="C48" s="50" t="s">
        <v>29</v>
      </c>
      <c r="D48" s="157" t="s">
        <v>928</v>
      </c>
      <c r="E48" s="50" t="s">
        <v>18</v>
      </c>
      <c r="F48" s="110">
        <f>Ведомственная!G51</f>
        <v>156.5</v>
      </c>
      <c r="G48" s="110">
        <f>Ведомственная!H51</f>
        <v>156.5</v>
      </c>
      <c r="H48" s="110">
        <f>Ведомственная!I51</f>
        <v>1</v>
      </c>
    </row>
    <row r="49" spans="2:14" s="6" customFormat="1">
      <c r="B49" s="14" t="s">
        <v>836</v>
      </c>
      <c r="C49" s="11" t="s">
        <v>838</v>
      </c>
      <c r="D49" s="11"/>
      <c r="E49" s="11"/>
      <c r="F49" s="108">
        <f>F50</f>
        <v>13.6</v>
      </c>
      <c r="G49" s="108">
        <f t="shared" ref="G49:H49" si="23">G50</f>
        <v>0</v>
      </c>
      <c r="H49" s="108">
        <f t="shared" si="23"/>
        <v>0</v>
      </c>
    </row>
    <row r="50" spans="2:14" ht="25.5">
      <c r="B50" s="15" t="s">
        <v>839</v>
      </c>
      <c r="C50" s="50" t="s">
        <v>838</v>
      </c>
      <c r="D50" s="50" t="s">
        <v>840</v>
      </c>
      <c r="E50" s="50"/>
      <c r="F50" s="110">
        <f>F51</f>
        <v>13.6</v>
      </c>
      <c r="G50" s="110">
        <f t="shared" ref="G50:H50" si="24">G51</f>
        <v>0</v>
      </c>
      <c r="H50" s="110">
        <f t="shared" si="24"/>
        <v>0</v>
      </c>
    </row>
    <row r="51" spans="2:14">
      <c r="B51" s="15" t="s">
        <v>19</v>
      </c>
      <c r="C51" s="50" t="s">
        <v>838</v>
      </c>
      <c r="D51" s="50" t="s">
        <v>840</v>
      </c>
      <c r="E51" s="50" t="s">
        <v>20</v>
      </c>
      <c r="F51" s="110">
        <f>Ведомственная!G54</f>
        <v>13.6</v>
      </c>
      <c r="G51" s="110">
        <f>Ведомственная!H54</f>
        <v>0</v>
      </c>
      <c r="H51" s="110">
        <f>Ведомственная!I54</f>
        <v>0</v>
      </c>
    </row>
    <row r="52" spans="2:14" ht="25.5">
      <c r="B52" s="74" t="s">
        <v>57</v>
      </c>
      <c r="C52" s="11" t="s">
        <v>58</v>
      </c>
      <c r="D52" s="50"/>
      <c r="E52" s="50"/>
      <c r="F52" s="108">
        <f>F53+F60</f>
        <v>5818</v>
      </c>
      <c r="G52" s="108">
        <f t="shared" ref="G52:H52" si="25">G53+G60</f>
        <v>5703.9</v>
      </c>
      <c r="H52" s="108">
        <f t="shared" si="25"/>
        <v>7.8265390474266008</v>
      </c>
      <c r="I52" s="32">
        <f>Ведомственная!G792+Ведомственная!G773</f>
        <v>5818</v>
      </c>
      <c r="J52" s="32">
        <f>Ведомственная!H792+Ведомственная!H773</f>
        <v>5703.9</v>
      </c>
      <c r="K52" s="32">
        <f>Ведомственная!I792+Ведомственная!I773</f>
        <v>1.9697450388865034</v>
      </c>
      <c r="L52" s="32">
        <f>I52-F52</f>
        <v>0</v>
      </c>
      <c r="M52" s="32">
        <f t="shared" ref="M52" si="26">J52-G52</f>
        <v>0</v>
      </c>
      <c r="N52" s="32">
        <f t="shared" ref="N52" si="27">K52-H52</f>
        <v>-5.8567940085400974</v>
      </c>
    </row>
    <row r="53" spans="2:14" ht="25.5">
      <c r="B53" s="62" t="s">
        <v>104</v>
      </c>
      <c r="C53" s="50" t="s">
        <v>58</v>
      </c>
      <c r="D53" s="50" t="s">
        <v>137</v>
      </c>
      <c r="E53" s="50" t="s">
        <v>12</v>
      </c>
      <c r="F53" s="110">
        <f>F54+F57</f>
        <v>5364.3</v>
      </c>
      <c r="G53" s="110">
        <f t="shared" ref="G53:H53" si="28">G54+G57</f>
        <v>5250.4</v>
      </c>
      <c r="H53" s="110">
        <f t="shared" si="28"/>
        <v>3.859872380759934</v>
      </c>
    </row>
    <row r="54" spans="2:14">
      <c r="B54" s="62" t="s">
        <v>95</v>
      </c>
      <c r="C54" s="50" t="s">
        <v>58</v>
      </c>
      <c r="D54" s="50" t="s">
        <v>138</v>
      </c>
      <c r="E54" s="50"/>
      <c r="F54" s="110">
        <f>F55+F56</f>
        <v>4546.3</v>
      </c>
      <c r="G54" s="110">
        <f t="shared" ref="G54:H54" si="29">G55+G56</f>
        <v>4441.5</v>
      </c>
      <c r="H54" s="110">
        <f t="shared" si="29"/>
        <v>1.9456831915707447</v>
      </c>
    </row>
    <row r="55" spans="2:14" ht="45.75" customHeight="1">
      <c r="B55" s="62" t="s">
        <v>17</v>
      </c>
      <c r="C55" s="50" t="s">
        <v>58</v>
      </c>
      <c r="D55" s="50" t="s">
        <v>138</v>
      </c>
      <c r="E55" s="50" t="s">
        <v>18</v>
      </c>
      <c r="F55" s="110">
        <f>Ведомственная!G776</f>
        <v>4109</v>
      </c>
      <c r="G55" s="110">
        <f>Ведомственная!H776</f>
        <v>4018.3</v>
      </c>
      <c r="H55" s="110">
        <f>Ведомственная!I776</f>
        <v>0.9779265027987345</v>
      </c>
    </row>
    <row r="56" spans="2:14">
      <c r="B56" s="62" t="s">
        <v>19</v>
      </c>
      <c r="C56" s="50" t="s">
        <v>58</v>
      </c>
      <c r="D56" s="50" t="s">
        <v>138</v>
      </c>
      <c r="E56" s="50" t="s">
        <v>20</v>
      </c>
      <c r="F56" s="110">
        <f>Ведомственная!G777</f>
        <v>437.29999999999995</v>
      </c>
      <c r="G56" s="110">
        <f>Ведомственная!H777</f>
        <v>423.2</v>
      </c>
      <c r="H56" s="110">
        <f>Ведомственная!I777</f>
        <v>0.96775668877201015</v>
      </c>
    </row>
    <row r="57" spans="2:14">
      <c r="B57" s="62" t="s">
        <v>101</v>
      </c>
      <c r="C57" s="50" t="s">
        <v>58</v>
      </c>
      <c r="D57" s="50" t="s">
        <v>184</v>
      </c>
      <c r="E57" s="50"/>
      <c r="F57" s="110">
        <f>F58+F59</f>
        <v>818</v>
      </c>
      <c r="G57" s="110">
        <f t="shared" ref="G57:H57" si="30">G58+G59</f>
        <v>808.90000000000009</v>
      </c>
      <c r="H57" s="110">
        <f t="shared" si="30"/>
        <v>1.9141891891891893</v>
      </c>
    </row>
    <row r="58" spans="2:14" ht="38.25" customHeight="1">
      <c r="B58" s="62" t="s">
        <v>17</v>
      </c>
      <c r="C58" s="50" t="s">
        <v>58</v>
      </c>
      <c r="D58" s="50" t="s">
        <v>184</v>
      </c>
      <c r="E58" s="50" t="s">
        <v>18</v>
      </c>
      <c r="F58" s="110">
        <f>Ведомственная!G795</f>
        <v>814</v>
      </c>
      <c r="G58" s="110">
        <f>Ведомственная!H795</f>
        <v>805.2</v>
      </c>
      <c r="H58" s="110">
        <f>Ведомственная!I795</f>
        <v>0.9891891891891893</v>
      </c>
    </row>
    <row r="59" spans="2:14">
      <c r="B59" s="62" t="s">
        <v>19</v>
      </c>
      <c r="C59" s="50" t="s">
        <v>58</v>
      </c>
      <c r="D59" s="50" t="s">
        <v>184</v>
      </c>
      <c r="E59" s="50" t="s">
        <v>20</v>
      </c>
      <c r="F59" s="110">
        <f>Ведомственная!G796</f>
        <v>4</v>
      </c>
      <c r="G59" s="110">
        <f>Ведомственная!H796</f>
        <v>3.7</v>
      </c>
      <c r="H59" s="110">
        <f>Ведомственная!I796</f>
        <v>0.92500000000000004</v>
      </c>
    </row>
    <row r="60" spans="2:14">
      <c r="B60" s="62" t="s">
        <v>76</v>
      </c>
      <c r="C60" s="68" t="s">
        <v>58</v>
      </c>
      <c r="D60" s="50" t="s">
        <v>139</v>
      </c>
      <c r="E60" s="50"/>
      <c r="F60" s="110">
        <f>F61+F63</f>
        <v>453.70000000000005</v>
      </c>
      <c r="G60" s="110">
        <f t="shared" ref="G60:H60" si="31">G61+G63</f>
        <v>453.50000000000006</v>
      </c>
      <c r="H60" s="110">
        <f t="shared" si="31"/>
        <v>3.9666666666666668</v>
      </c>
    </row>
    <row r="61" spans="2:14">
      <c r="B61" s="62" t="s">
        <v>100</v>
      </c>
      <c r="C61" s="68" t="s">
        <v>58</v>
      </c>
      <c r="D61" s="50" t="s">
        <v>151</v>
      </c>
      <c r="E61" s="50"/>
      <c r="F61" s="110">
        <f>F62</f>
        <v>7</v>
      </c>
      <c r="G61" s="110">
        <f t="shared" ref="G61:H61" si="32">G62</f>
        <v>6.8</v>
      </c>
      <c r="H61" s="110">
        <f t="shared" si="32"/>
        <v>1.9666666666666668</v>
      </c>
    </row>
    <row r="62" spans="2:14">
      <c r="B62" s="62" t="s">
        <v>21</v>
      </c>
      <c r="C62" s="68" t="s">
        <v>58</v>
      </c>
      <c r="D62" s="50" t="s">
        <v>151</v>
      </c>
      <c r="E62" s="50" t="s">
        <v>22</v>
      </c>
      <c r="F62" s="110">
        <f>Ведомственная!G779+Ведомственная!G799</f>
        <v>7</v>
      </c>
      <c r="G62" s="110">
        <f>Ведомственная!H779+Ведомственная!H799</f>
        <v>6.8</v>
      </c>
      <c r="H62" s="110">
        <f>Ведомственная!I779+Ведомственная!I799</f>
        <v>1.9666666666666668</v>
      </c>
    </row>
    <row r="63" spans="2:14">
      <c r="B63" s="62" t="s">
        <v>102</v>
      </c>
      <c r="C63" s="68" t="s">
        <v>58</v>
      </c>
      <c r="D63" s="50" t="s">
        <v>144</v>
      </c>
      <c r="E63" s="50"/>
      <c r="F63" s="110">
        <f>F64+F65</f>
        <v>446.70000000000005</v>
      </c>
      <c r="G63" s="110">
        <f t="shared" ref="G63:H63" si="33">G64+G65</f>
        <v>446.70000000000005</v>
      </c>
      <c r="H63" s="110">
        <f t="shared" si="33"/>
        <v>2</v>
      </c>
    </row>
    <row r="64" spans="2:14" ht="51">
      <c r="B64" s="62" t="s">
        <v>17</v>
      </c>
      <c r="C64" s="68" t="s">
        <v>58</v>
      </c>
      <c r="D64" s="50" t="s">
        <v>144</v>
      </c>
      <c r="E64" s="50" t="s">
        <v>18</v>
      </c>
      <c r="F64" s="110">
        <f>Ведомственная!G801</f>
        <v>441.6</v>
      </c>
      <c r="G64" s="110">
        <f>Ведомственная!H801</f>
        <v>441.6</v>
      </c>
      <c r="H64" s="110">
        <f>Ведомственная!I801</f>
        <v>1</v>
      </c>
    </row>
    <row r="65" spans="2:14">
      <c r="B65" s="62" t="s">
        <v>19</v>
      </c>
      <c r="C65" s="68" t="s">
        <v>58</v>
      </c>
      <c r="D65" s="50" t="s">
        <v>144</v>
      </c>
      <c r="E65" s="50" t="s">
        <v>20</v>
      </c>
      <c r="F65" s="110">
        <f>Ведомственная!G802</f>
        <v>5.0999999999999996</v>
      </c>
      <c r="G65" s="110">
        <f>Ведомственная!H802</f>
        <v>5.0999999999999996</v>
      </c>
      <c r="H65" s="110">
        <f>Ведомственная!I802</f>
        <v>1</v>
      </c>
      <c r="L65" s="32"/>
      <c r="M65" s="32"/>
      <c r="N65" s="32"/>
    </row>
    <row r="66" spans="2:14">
      <c r="B66" s="74" t="s">
        <v>67</v>
      </c>
      <c r="C66" s="11" t="s">
        <v>59</v>
      </c>
      <c r="D66" s="11"/>
      <c r="E66" s="11"/>
      <c r="F66" s="108">
        <f>F67</f>
        <v>100</v>
      </c>
      <c r="G66" s="108">
        <f t="shared" ref="G66:H68" si="34">G67</f>
        <v>0</v>
      </c>
      <c r="H66" s="108">
        <f t="shared" si="34"/>
        <v>0</v>
      </c>
      <c r="I66" s="32">
        <f>Ведомственная!G55</f>
        <v>100</v>
      </c>
      <c r="J66" s="32">
        <f>Ведомственная!H55</f>
        <v>0</v>
      </c>
      <c r="K66" s="32">
        <f>Ведомственная!I55</f>
        <v>0</v>
      </c>
      <c r="L66" s="32">
        <f>I66-F66</f>
        <v>0</v>
      </c>
      <c r="M66" s="32">
        <f t="shared" ref="M66" si="35">J66-G66</f>
        <v>0</v>
      </c>
      <c r="N66" s="32">
        <f t="shared" ref="N66" si="36">K66-H66</f>
        <v>0</v>
      </c>
    </row>
    <row r="67" spans="2:14">
      <c r="B67" s="62" t="s">
        <v>72</v>
      </c>
      <c r="C67" s="50" t="s">
        <v>59</v>
      </c>
      <c r="D67" s="50" t="s">
        <v>139</v>
      </c>
      <c r="E67" s="50"/>
      <c r="F67" s="110">
        <f>F68</f>
        <v>100</v>
      </c>
      <c r="G67" s="110">
        <f t="shared" si="34"/>
        <v>0</v>
      </c>
      <c r="H67" s="110">
        <f t="shared" si="34"/>
        <v>0</v>
      </c>
    </row>
    <row r="68" spans="2:14">
      <c r="B68" s="62" t="s">
        <v>67</v>
      </c>
      <c r="C68" s="50" t="s">
        <v>59</v>
      </c>
      <c r="D68" s="50" t="s">
        <v>145</v>
      </c>
      <c r="E68" s="50"/>
      <c r="F68" s="110">
        <f>F69</f>
        <v>100</v>
      </c>
      <c r="G68" s="110">
        <f t="shared" si="34"/>
        <v>0</v>
      </c>
      <c r="H68" s="110">
        <f t="shared" si="34"/>
        <v>0</v>
      </c>
    </row>
    <row r="69" spans="2:14">
      <c r="B69" s="62" t="s">
        <v>21</v>
      </c>
      <c r="C69" s="50" t="s">
        <v>59</v>
      </c>
      <c r="D69" s="50" t="s">
        <v>145</v>
      </c>
      <c r="E69" s="50" t="s">
        <v>22</v>
      </c>
      <c r="F69" s="110">
        <f>Ведомственная!G58</f>
        <v>100</v>
      </c>
      <c r="G69" s="110">
        <f>Ведомственная!H58</f>
        <v>0</v>
      </c>
      <c r="H69" s="110">
        <f>Ведомственная!I58</f>
        <v>0</v>
      </c>
    </row>
    <row r="70" spans="2:14">
      <c r="B70" s="74" t="s">
        <v>193</v>
      </c>
      <c r="C70" s="11" t="s">
        <v>24</v>
      </c>
      <c r="D70" s="11"/>
      <c r="E70" s="11"/>
      <c r="F70" s="108">
        <f>F71</f>
        <v>27870.999999999996</v>
      </c>
      <c r="G70" s="108">
        <f t="shared" ref="G70:H70" si="37">G71</f>
        <v>26124.999999999996</v>
      </c>
      <c r="H70" s="108" t="e">
        <f t="shared" si="37"/>
        <v>#DIV/0!</v>
      </c>
      <c r="I70" s="32">
        <f>Ведомственная!G59+Ведомственная!G780</f>
        <v>27870.999999999996</v>
      </c>
      <c r="J70" s="32">
        <f>Ведомственная!H59+Ведомственная!H780</f>
        <v>26122.1</v>
      </c>
      <c r="K70" s="32" t="e">
        <f>Ведомственная!I59+Ведомственная!I780</f>
        <v>#DIV/0!</v>
      </c>
      <c r="L70" s="32">
        <f>I70-F70</f>
        <v>0</v>
      </c>
      <c r="M70" s="32">
        <f t="shared" ref="M70" si="38">J70-G70</f>
        <v>-2.8999999999978172</v>
      </c>
      <c r="N70" s="32" t="e">
        <f t="shared" ref="N70" si="39">K70-H70</f>
        <v>#DIV/0!</v>
      </c>
    </row>
    <row r="71" spans="2:14">
      <c r="B71" s="62" t="s">
        <v>76</v>
      </c>
      <c r="C71" s="50" t="s">
        <v>24</v>
      </c>
      <c r="D71" s="50" t="s">
        <v>139</v>
      </c>
      <c r="E71" s="50"/>
      <c r="F71" s="110">
        <f>F72+F83+F79+F91+F95+F97+F99+F86+F101+F81+F76+F93+F88</f>
        <v>27870.999999999996</v>
      </c>
      <c r="G71" s="110">
        <f t="shared" ref="G71:H71" si="40">G72+G83+G79+G91+G95+G97+G99+G86+G101+G81+G76+G93+G88</f>
        <v>26124.999999999996</v>
      </c>
      <c r="H71" s="110" t="e">
        <f t="shared" si="40"/>
        <v>#DIV/0!</v>
      </c>
    </row>
    <row r="72" spans="2:14">
      <c r="B72" s="62" t="s">
        <v>105</v>
      </c>
      <c r="C72" s="50" t="s">
        <v>24</v>
      </c>
      <c r="D72" s="50" t="s">
        <v>148</v>
      </c>
      <c r="E72" s="50"/>
      <c r="F72" s="110">
        <f>F73+F74+F75</f>
        <v>13643.4</v>
      </c>
      <c r="G72" s="110">
        <f t="shared" ref="G72:H72" si="41">G73+G74+G75</f>
        <v>11992.1</v>
      </c>
      <c r="H72" s="110" t="e">
        <f t="shared" si="41"/>
        <v>#DIV/0!</v>
      </c>
    </row>
    <row r="73" spans="2:14" ht="42" customHeight="1">
      <c r="B73" s="62" t="s">
        <v>17</v>
      </c>
      <c r="C73" s="50" t="s">
        <v>24</v>
      </c>
      <c r="D73" s="50" t="s">
        <v>148</v>
      </c>
      <c r="E73" s="50" t="s">
        <v>18</v>
      </c>
      <c r="F73" s="110">
        <f>Ведомственная!G64</f>
        <v>6720</v>
      </c>
      <c r="G73" s="110">
        <f>Ведомственная!H64</f>
        <v>6324</v>
      </c>
      <c r="H73" s="110">
        <f>Ведомственная!I64</f>
        <v>0.94107142857142856</v>
      </c>
    </row>
    <row r="74" spans="2:14">
      <c r="B74" s="62" t="s">
        <v>19</v>
      </c>
      <c r="C74" s="50" t="s">
        <v>24</v>
      </c>
      <c r="D74" s="50" t="s">
        <v>148</v>
      </c>
      <c r="E74" s="50" t="s">
        <v>20</v>
      </c>
      <c r="F74" s="110">
        <f>Ведомственная!G65+Ведомственная!G62</f>
        <v>6923.4</v>
      </c>
      <c r="G74" s="110">
        <f>Ведомственная!H65+Ведомственная!H62</f>
        <v>5668.1</v>
      </c>
      <c r="H74" s="110">
        <f>Ведомственная!I65+Ведомственная!I62</f>
        <v>0.83681755100835631</v>
      </c>
    </row>
    <row r="75" spans="2:14" ht="25.5">
      <c r="B75" s="62" t="s">
        <v>566</v>
      </c>
      <c r="C75" s="50" t="s">
        <v>24</v>
      </c>
      <c r="D75" s="50" t="s">
        <v>148</v>
      </c>
      <c r="E75" s="50" t="s">
        <v>26</v>
      </c>
      <c r="F75" s="110">
        <f>Ведомственная!G66</f>
        <v>0</v>
      </c>
      <c r="G75" s="110">
        <f>Ведомственная!H66</f>
        <v>0</v>
      </c>
      <c r="H75" s="110" t="e">
        <f>Ведомственная!I66</f>
        <v>#DIV/0!</v>
      </c>
    </row>
    <row r="76" spans="2:14">
      <c r="B76" s="15" t="s">
        <v>835</v>
      </c>
      <c r="C76" s="50" t="s">
        <v>24</v>
      </c>
      <c r="D76" s="50" t="s">
        <v>148</v>
      </c>
      <c r="E76" s="50"/>
      <c r="F76" s="110">
        <f>F77+F78</f>
        <v>12</v>
      </c>
      <c r="G76" s="110">
        <f>G77+G78</f>
        <v>1.5</v>
      </c>
      <c r="H76" s="110">
        <f>H77+H78</f>
        <v>0.5</v>
      </c>
    </row>
    <row r="77" spans="2:14">
      <c r="B77" s="15" t="s">
        <v>19</v>
      </c>
      <c r="C77" s="50" t="s">
        <v>24</v>
      </c>
      <c r="D77" s="50" t="s">
        <v>148</v>
      </c>
      <c r="E77" s="50" t="s">
        <v>20</v>
      </c>
      <c r="F77" s="110">
        <f>Ведомственная!G68</f>
        <v>9</v>
      </c>
      <c r="G77" s="110">
        <f>Ведомственная!H68</f>
        <v>0</v>
      </c>
      <c r="H77" s="110">
        <f>Ведомственная!I68</f>
        <v>0</v>
      </c>
    </row>
    <row r="78" spans="2:14">
      <c r="B78" s="15" t="s">
        <v>21</v>
      </c>
      <c r="C78" s="50" t="s">
        <v>24</v>
      </c>
      <c r="D78" s="50" t="s">
        <v>148</v>
      </c>
      <c r="E78" s="50" t="s">
        <v>22</v>
      </c>
      <c r="F78" s="110">
        <f>Ведомственная!G69</f>
        <v>3</v>
      </c>
      <c r="G78" s="110">
        <f>Ведомственная!H69</f>
        <v>1.5</v>
      </c>
      <c r="H78" s="110">
        <f>Ведомственная!I69</f>
        <v>0.5</v>
      </c>
    </row>
    <row r="79" spans="2:14">
      <c r="B79" s="62" t="s">
        <v>100</v>
      </c>
      <c r="C79" s="50" t="s">
        <v>24</v>
      </c>
      <c r="D79" s="50" t="s">
        <v>151</v>
      </c>
      <c r="E79" s="50"/>
      <c r="F79" s="110">
        <f>F80</f>
        <v>95</v>
      </c>
      <c r="G79" s="110">
        <f t="shared" ref="G79:H79" si="42">G80</f>
        <v>79.400000000000006</v>
      </c>
      <c r="H79" s="110">
        <f t="shared" si="42"/>
        <v>0.83578947368421064</v>
      </c>
    </row>
    <row r="80" spans="2:14">
      <c r="B80" s="62" t="s">
        <v>21</v>
      </c>
      <c r="C80" s="50" t="s">
        <v>24</v>
      </c>
      <c r="D80" s="50" t="s">
        <v>151</v>
      </c>
      <c r="E80" s="50" t="s">
        <v>22</v>
      </c>
      <c r="F80" s="110">
        <f>Ведомственная!G71</f>
        <v>95</v>
      </c>
      <c r="G80" s="110">
        <f>Ведомственная!H71</f>
        <v>79.400000000000006</v>
      </c>
      <c r="H80" s="110">
        <f>Ведомственная!I71</f>
        <v>0.83578947368421064</v>
      </c>
    </row>
    <row r="81" spans="2:8" ht="51" hidden="1">
      <c r="B81" s="62" t="s">
        <v>623</v>
      </c>
      <c r="C81" s="50" t="s">
        <v>24</v>
      </c>
      <c r="D81" s="50" t="s">
        <v>622</v>
      </c>
      <c r="E81" s="50"/>
      <c r="F81" s="110">
        <f>F82</f>
        <v>0</v>
      </c>
      <c r="G81" s="110">
        <f t="shared" ref="G81:H81" si="43">G82</f>
        <v>0</v>
      </c>
      <c r="H81" s="110" t="e">
        <f t="shared" si="43"/>
        <v>#DIV/0!</v>
      </c>
    </row>
    <row r="82" spans="2:8" ht="45.75" hidden="1" customHeight="1">
      <c r="B82" s="62" t="s">
        <v>17</v>
      </c>
      <c r="C82" s="50" t="s">
        <v>24</v>
      </c>
      <c r="D82" s="50" t="s">
        <v>622</v>
      </c>
      <c r="E82" s="50" t="s">
        <v>18</v>
      </c>
      <c r="F82" s="110">
        <f>Ведомственная!G73</f>
        <v>0</v>
      </c>
      <c r="G82" s="110">
        <f>Ведомственная!H73</f>
        <v>0</v>
      </c>
      <c r="H82" s="110" t="e">
        <f>Ведомственная!I73</f>
        <v>#DIV/0!</v>
      </c>
    </row>
    <row r="83" spans="2:8" ht="30" customHeight="1">
      <c r="B83" s="62" t="s">
        <v>112</v>
      </c>
      <c r="C83" s="50" t="s">
        <v>24</v>
      </c>
      <c r="D83" s="50" t="s">
        <v>149</v>
      </c>
      <c r="E83" s="50"/>
      <c r="F83" s="110">
        <f>F84+F85</f>
        <v>1041.5999999999999</v>
      </c>
      <c r="G83" s="110">
        <f t="shared" ref="G83:H83" si="44">G84+G85</f>
        <v>1038.4000000000001</v>
      </c>
      <c r="H83" s="110">
        <f t="shared" si="44"/>
        <v>1.8719999999999999</v>
      </c>
    </row>
    <row r="84" spans="2:8" ht="44.25" customHeight="1">
      <c r="B84" s="62" t="s">
        <v>17</v>
      </c>
      <c r="C84" s="50" t="s">
        <v>24</v>
      </c>
      <c r="D84" s="50" t="s">
        <v>149</v>
      </c>
      <c r="E84" s="50" t="s">
        <v>18</v>
      </c>
      <c r="F84" s="110">
        <f>Ведомственная!G77</f>
        <v>1016.6</v>
      </c>
      <c r="G84" s="110">
        <f>Ведомственная!H77</f>
        <v>1016.6</v>
      </c>
      <c r="H84" s="110">
        <f>Ведомственная!I77</f>
        <v>1</v>
      </c>
    </row>
    <row r="85" spans="2:8">
      <c r="B85" s="62" t="s">
        <v>19</v>
      </c>
      <c r="C85" s="50" t="s">
        <v>24</v>
      </c>
      <c r="D85" s="50" t="s">
        <v>149</v>
      </c>
      <c r="E85" s="50" t="s">
        <v>20</v>
      </c>
      <c r="F85" s="110">
        <f>Ведомственная!G78</f>
        <v>25</v>
      </c>
      <c r="G85" s="110">
        <f>Ведомственная!H78</f>
        <v>21.8</v>
      </c>
      <c r="H85" s="110">
        <f>Ведомственная!I78</f>
        <v>0.872</v>
      </c>
    </row>
    <row r="86" spans="2:8">
      <c r="B86" s="62" t="s">
        <v>841</v>
      </c>
      <c r="C86" s="50" t="s">
        <v>24</v>
      </c>
      <c r="D86" s="50" t="s">
        <v>533</v>
      </c>
      <c r="E86" s="50"/>
      <c r="F86" s="110">
        <f>F87</f>
        <v>263.60000000000002</v>
      </c>
      <c r="G86" s="110">
        <f t="shared" ref="G86:H86" si="45">G87</f>
        <v>260.5</v>
      </c>
      <c r="H86" s="110">
        <f t="shared" si="45"/>
        <v>0.9882397572078907</v>
      </c>
    </row>
    <row r="87" spans="2:8">
      <c r="B87" s="62" t="s">
        <v>19</v>
      </c>
      <c r="C87" s="50" t="s">
        <v>24</v>
      </c>
      <c r="D87" s="50" t="s">
        <v>533</v>
      </c>
      <c r="E87" s="50" t="s">
        <v>20</v>
      </c>
      <c r="F87" s="110">
        <f>Ведомственная!G75</f>
        <v>263.60000000000002</v>
      </c>
      <c r="G87" s="110">
        <f>Ведомственная!H75</f>
        <v>260.5</v>
      </c>
      <c r="H87" s="110">
        <f>Ведомственная!I75</f>
        <v>0.9882397572078907</v>
      </c>
    </row>
    <row r="88" spans="2:8" ht="47.25" customHeight="1">
      <c r="B88" s="15" t="s">
        <v>929</v>
      </c>
      <c r="C88" s="50" t="s">
        <v>24</v>
      </c>
      <c r="D88" s="50" t="s">
        <v>930</v>
      </c>
      <c r="E88" s="50"/>
      <c r="F88" s="110">
        <f>F89+F90</f>
        <v>298.3</v>
      </c>
      <c r="G88" s="110">
        <f t="shared" ref="G88:H88" si="46">G89+G90</f>
        <v>281.59999999999997</v>
      </c>
      <c r="H88" s="110">
        <f t="shared" si="46"/>
        <v>1.9009610012291875</v>
      </c>
    </row>
    <row r="89" spans="2:8" ht="25.5">
      <c r="B89" s="15" t="s">
        <v>509</v>
      </c>
      <c r="C89" s="50" t="s">
        <v>24</v>
      </c>
      <c r="D89" s="50" t="s">
        <v>930</v>
      </c>
      <c r="E89" s="50" t="s">
        <v>20</v>
      </c>
      <c r="F89" s="110">
        <f>Ведомственная!G82</f>
        <v>295.3</v>
      </c>
      <c r="G89" s="110">
        <f>Ведомственная!H81</f>
        <v>278.7</v>
      </c>
      <c r="H89" s="110">
        <f>Ведомственная!I81</f>
        <v>0.93429433456252087</v>
      </c>
    </row>
    <row r="90" spans="2:8" ht="25.5">
      <c r="B90" s="15" t="s">
        <v>504</v>
      </c>
      <c r="C90" s="50" t="s">
        <v>24</v>
      </c>
      <c r="D90" s="50" t="s">
        <v>930</v>
      </c>
      <c r="E90" s="50" t="s">
        <v>20</v>
      </c>
      <c r="F90" s="110">
        <f>Ведомственная!G83</f>
        <v>3</v>
      </c>
      <c r="G90" s="110">
        <f>Ведомственная!H83</f>
        <v>2.9</v>
      </c>
      <c r="H90" s="110">
        <f>Ведомственная!I83</f>
        <v>0.96666666666666667</v>
      </c>
    </row>
    <row r="91" spans="2:8">
      <c r="B91" s="62" t="s">
        <v>136</v>
      </c>
      <c r="C91" s="50" t="s">
        <v>24</v>
      </c>
      <c r="D91" s="50" t="s">
        <v>150</v>
      </c>
      <c r="E91" s="50"/>
      <c r="F91" s="110">
        <f>F92</f>
        <v>50</v>
      </c>
      <c r="G91" s="110">
        <f t="shared" ref="G91:H91" si="47">G92</f>
        <v>41.5</v>
      </c>
      <c r="H91" s="110">
        <f t="shared" si="47"/>
        <v>0.83</v>
      </c>
    </row>
    <row r="92" spans="2:8">
      <c r="B92" s="62" t="s">
        <v>21</v>
      </c>
      <c r="C92" s="50" t="s">
        <v>24</v>
      </c>
      <c r="D92" s="50" t="s">
        <v>150</v>
      </c>
      <c r="E92" s="50" t="s">
        <v>22</v>
      </c>
      <c r="F92" s="110">
        <f>Ведомственная!G85</f>
        <v>50</v>
      </c>
      <c r="G92" s="110">
        <f>Ведомственная!H85</f>
        <v>41.5</v>
      </c>
      <c r="H92" s="110">
        <f>Ведомственная!I85</f>
        <v>0.83</v>
      </c>
    </row>
    <row r="93" spans="2:8">
      <c r="B93" s="15" t="s">
        <v>111</v>
      </c>
      <c r="C93" s="50" t="s">
        <v>24</v>
      </c>
      <c r="D93" s="50" t="s">
        <v>922</v>
      </c>
      <c r="E93" s="50"/>
      <c r="F93" s="110">
        <f>F94</f>
        <v>1638.6</v>
      </c>
      <c r="G93" s="110">
        <f t="shared" ref="G93:H93" si="48">G94</f>
        <v>1638.6</v>
      </c>
      <c r="H93" s="110">
        <f t="shared" si="48"/>
        <v>1</v>
      </c>
    </row>
    <row r="94" spans="2:8" ht="25.5">
      <c r="B94" s="15" t="s">
        <v>30</v>
      </c>
      <c r="C94" s="50" t="s">
        <v>24</v>
      </c>
      <c r="D94" s="50" t="s">
        <v>922</v>
      </c>
      <c r="E94" s="50" t="s">
        <v>31</v>
      </c>
      <c r="F94" s="110">
        <f>Ведомственная!G87</f>
        <v>1638.6</v>
      </c>
      <c r="G94" s="110">
        <f>Ведомственная!H87</f>
        <v>1638.6</v>
      </c>
      <c r="H94" s="110">
        <f>Ведомственная!I87</f>
        <v>1</v>
      </c>
    </row>
    <row r="95" spans="2:8">
      <c r="B95" s="62" t="s">
        <v>111</v>
      </c>
      <c r="C95" s="50" t="s">
        <v>24</v>
      </c>
      <c r="D95" s="50" t="s">
        <v>185</v>
      </c>
      <c r="E95" s="50"/>
      <c r="F95" s="110">
        <f>F96</f>
        <v>10281.5</v>
      </c>
      <c r="G95" s="110">
        <f t="shared" ref="G95:H95" si="49">G96</f>
        <v>10281.4</v>
      </c>
      <c r="H95" s="110">
        <f t="shared" si="49"/>
        <v>0.99999027379273453</v>
      </c>
    </row>
    <row r="96" spans="2:8" ht="25.5">
      <c r="B96" s="62" t="s">
        <v>30</v>
      </c>
      <c r="C96" s="50" t="s">
        <v>24</v>
      </c>
      <c r="D96" s="50" t="s">
        <v>185</v>
      </c>
      <c r="E96" s="50" t="s">
        <v>31</v>
      </c>
      <c r="F96" s="110">
        <f>Ведомственная!G89</f>
        <v>10281.5</v>
      </c>
      <c r="G96" s="110">
        <f>Ведомственная!H89</f>
        <v>10281.4</v>
      </c>
      <c r="H96" s="110">
        <f>Ведомственная!I89</f>
        <v>0.99999027379273453</v>
      </c>
    </row>
    <row r="97" spans="2:14">
      <c r="B97" s="62" t="s">
        <v>70</v>
      </c>
      <c r="C97" s="50" t="s">
        <v>24</v>
      </c>
      <c r="D97" s="50" t="s">
        <v>182</v>
      </c>
      <c r="E97" s="50"/>
      <c r="F97" s="110">
        <f>F98</f>
        <v>0</v>
      </c>
      <c r="G97" s="110">
        <f t="shared" ref="G97:H97" si="50">G98</f>
        <v>0</v>
      </c>
      <c r="H97" s="110" t="e">
        <f t="shared" si="50"/>
        <v>#DIV/0!</v>
      </c>
    </row>
    <row r="98" spans="2:14">
      <c r="B98" s="62" t="s">
        <v>21</v>
      </c>
      <c r="C98" s="50" t="s">
        <v>24</v>
      </c>
      <c r="D98" s="50" t="s">
        <v>182</v>
      </c>
      <c r="E98" s="50" t="s">
        <v>22</v>
      </c>
      <c r="F98" s="110">
        <f>Ведомственная!G783</f>
        <v>0</v>
      </c>
      <c r="G98" s="110">
        <f>Ведомственная!H783</f>
        <v>0</v>
      </c>
      <c r="H98" s="110" t="e">
        <f>Ведомственная!I783</f>
        <v>#DIV/0!</v>
      </c>
    </row>
    <row r="99" spans="2:14">
      <c r="B99" s="62" t="s">
        <v>385</v>
      </c>
      <c r="C99" s="50" t="s">
        <v>24</v>
      </c>
      <c r="D99" s="50" t="s">
        <v>389</v>
      </c>
      <c r="E99" s="50"/>
      <c r="F99" s="110">
        <f>F100</f>
        <v>547</v>
      </c>
      <c r="G99" s="110">
        <f t="shared" ref="G99:H99" si="51">G100</f>
        <v>510</v>
      </c>
      <c r="H99" s="110">
        <f t="shared" si="51"/>
        <v>0.93235831809872027</v>
      </c>
    </row>
    <row r="100" spans="2:14">
      <c r="B100" s="62" t="s">
        <v>21</v>
      </c>
      <c r="C100" s="50" t="s">
        <v>24</v>
      </c>
      <c r="D100" s="50" t="s">
        <v>389</v>
      </c>
      <c r="E100" s="50" t="s">
        <v>22</v>
      </c>
      <c r="F100" s="110">
        <f>Ведомственная!G91</f>
        <v>547</v>
      </c>
      <c r="G100" s="110">
        <f>Ведомственная!H91</f>
        <v>510</v>
      </c>
      <c r="H100" s="110">
        <f>Ведомственная!I91</f>
        <v>0.93235831809872027</v>
      </c>
    </row>
    <row r="101" spans="2:14" hidden="1">
      <c r="B101" s="62" t="s">
        <v>569</v>
      </c>
      <c r="C101" s="50" t="s">
        <v>24</v>
      </c>
      <c r="D101" s="50" t="s">
        <v>568</v>
      </c>
      <c r="E101" s="50"/>
      <c r="F101" s="110">
        <f>F102</f>
        <v>0</v>
      </c>
      <c r="G101" s="110">
        <f t="shared" ref="G101:H101" si="52">G102</f>
        <v>0</v>
      </c>
      <c r="H101" s="110" t="e">
        <f t="shared" si="52"/>
        <v>#DIV/0!</v>
      </c>
    </row>
    <row r="102" spans="2:14" hidden="1">
      <c r="B102" s="62" t="s">
        <v>19</v>
      </c>
      <c r="C102" s="50" t="s">
        <v>24</v>
      </c>
      <c r="D102" s="50" t="s">
        <v>568</v>
      </c>
      <c r="E102" s="50" t="s">
        <v>20</v>
      </c>
      <c r="F102" s="110">
        <f>Ведомственная!G93</f>
        <v>0</v>
      </c>
      <c r="G102" s="110">
        <f>Ведомственная!H93</f>
        <v>0</v>
      </c>
      <c r="H102" s="110" t="e">
        <f>Ведомственная!I93</f>
        <v>#DIV/0!</v>
      </c>
    </row>
    <row r="103" spans="2:14" ht="25.5">
      <c r="B103" s="74" t="s">
        <v>96</v>
      </c>
      <c r="C103" s="11" t="s">
        <v>36</v>
      </c>
      <c r="D103" s="11" t="s">
        <v>12</v>
      </c>
      <c r="E103" s="11" t="s">
        <v>12</v>
      </c>
      <c r="F103" s="108">
        <f>F104+F115+F124</f>
        <v>1984.8</v>
      </c>
      <c r="G103" s="108">
        <f t="shared" ref="G103:H103" si="53">G104+G115+G124</f>
        <v>1211</v>
      </c>
      <c r="H103" s="108" t="e">
        <f t="shared" si="53"/>
        <v>#DIV/0!</v>
      </c>
      <c r="I103" s="32">
        <f>Ведомственная!G94</f>
        <v>1984.8</v>
      </c>
      <c r="J103" s="32">
        <f>Ведомственная!H94</f>
        <v>1211</v>
      </c>
      <c r="K103" s="32">
        <f>Ведомственная!I94</f>
        <v>0.61013704151551795</v>
      </c>
      <c r="L103" s="32">
        <f>I103-F103</f>
        <v>0</v>
      </c>
      <c r="M103" s="32">
        <f t="shared" ref="M103" si="54">J103-G103</f>
        <v>0</v>
      </c>
      <c r="N103" s="32" t="e">
        <f t="shared" ref="N103" si="55">K103-H103</f>
        <v>#DIV/0!</v>
      </c>
    </row>
    <row r="104" spans="2:14">
      <c r="B104" s="14" t="s">
        <v>912</v>
      </c>
      <c r="C104" s="11" t="s">
        <v>37</v>
      </c>
      <c r="D104" s="11"/>
      <c r="E104" s="11"/>
      <c r="F104" s="108">
        <f>F105+F112</f>
        <v>105</v>
      </c>
      <c r="G104" s="108">
        <f t="shared" ref="G104:H104" si="56">G105+G112</f>
        <v>49</v>
      </c>
      <c r="H104" s="108" t="e">
        <f t="shared" si="56"/>
        <v>#DIV/0!</v>
      </c>
    </row>
    <row r="105" spans="2:14" ht="51">
      <c r="B105" s="96" t="s">
        <v>824</v>
      </c>
      <c r="C105" s="11" t="s">
        <v>37</v>
      </c>
      <c r="D105" s="11" t="s">
        <v>152</v>
      </c>
      <c r="E105" s="11"/>
      <c r="F105" s="108">
        <f t="shared" ref="F105:H105" si="57">F106</f>
        <v>35</v>
      </c>
      <c r="G105" s="108">
        <f t="shared" si="57"/>
        <v>28.5</v>
      </c>
      <c r="H105" s="108" t="e">
        <f t="shared" si="57"/>
        <v>#DIV/0!</v>
      </c>
    </row>
    <row r="106" spans="2:14">
      <c r="B106" s="62" t="s">
        <v>19</v>
      </c>
      <c r="C106" s="50" t="s">
        <v>37</v>
      </c>
      <c r="D106" s="50" t="s">
        <v>153</v>
      </c>
      <c r="E106" s="50"/>
      <c r="F106" s="110">
        <f>SUM(F107:F111)</f>
        <v>35</v>
      </c>
      <c r="G106" s="110">
        <f t="shared" ref="G106:H106" si="58">SUM(G107:G111)</f>
        <v>28.5</v>
      </c>
      <c r="H106" s="110" t="e">
        <f t="shared" si="58"/>
        <v>#DIV/0!</v>
      </c>
    </row>
    <row r="107" spans="2:14">
      <c r="B107" s="97" t="s">
        <v>235</v>
      </c>
      <c r="C107" s="50" t="s">
        <v>37</v>
      </c>
      <c r="D107" s="50" t="s">
        <v>266</v>
      </c>
      <c r="E107" s="50" t="s">
        <v>20</v>
      </c>
      <c r="F107" s="110">
        <f>Ведомственная!G98</f>
        <v>0</v>
      </c>
      <c r="G107" s="110">
        <f>Ведомственная!H98</f>
        <v>0</v>
      </c>
      <c r="H107" s="110" t="e">
        <f>Ведомственная!I98</f>
        <v>#DIV/0!</v>
      </c>
    </row>
    <row r="108" spans="2:14">
      <c r="B108" s="97" t="s">
        <v>697</v>
      </c>
      <c r="C108" s="50" t="s">
        <v>37</v>
      </c>
      <c r="D108" s="50" t="s">
        <v>646</v>
      </c>
      <c r="E108" s="50" t="s">
        <v>20</v>
      </c>
      <c r="F108" s="110">
        <f>Ведомственная!G99</f>
        <v>10</v>
      </c>
      <c r="G108" s="110">
        <f>Ведомственная!H99</f>
        <v>8.4</v>
      </c>
      <c r="H108" s="110">
        <f>Ведомственная!I99</f>
        <v>0.84000000000000008</v>
      </c>
    </row>
    <row r="109" spans="2:14">
      <c r="B109" s="97" t="s">
        <v>236</v>
      </c>
      <c r="C109" s="50" t="s">
        <v>37</v>
      </c>
      <c r="D109" s="50" t="s">
        <v>267</v>
      </c>
      <c r="E109" s="50" t="s">
        <v>20</v>
      </c>
      <c r="F109" s="110">
        <f>Ведомственная!G100</f>
        <v>20</v>
      </c>
      <c r="G109" s="110">
        <f>Ведомственная!H100</f>
        <v>15.1</v>
      </c>
      <c r="H109" s="110">
        <f>Ведомственная!I100</f>
        <v>0.755</v>
      </c>
    </row>
    <row r="110" spans="2:14">
      <c r="B110" s="97" t="s">
        <v>237</v>
      </c>
      <c r="C110" s="50" t="s">
        <v>37</v>
      </c>
      <c r="D110" s="50" t="s">
        <v>268</v>
      </c>
      <c r="E110" s="50" t="s">
        <v>20</v>
      </c>
      <c r="F110" s="110">
        <f>Ведомственная!G101</f>
        <v>5</v>
      </c>
      <c r="G110" s="110">
        <f>Ведомственная!H101</f>
        <v>5</v>
      </c>
      <c r="H110" s="110">
        <f>Ведомственная!I101</f>
        <v>1</v>
      </c>
    </row>
    <row r="111" spans="2:14">
      <c r="B111" s="97" t="s">
        <v>698</v>
      </c>
      <c r="C111" s="50" t="s">
        <v>37</v>
      </c>
      <c r="D111" s="50" t="s">
        <v>699</v>
      </c>
      <c r="E111" s="50" t="s">
        <v>20</v>
      </c>
      <c r="F111" s="110">
        <f>Ведомственная!G102</f>
        <v>0</v>
      </c>
      <c r="G111" s="110">
        <f>Ведомственная!H102</f>
        <v>0</v>
      </c>
      <c r="H111" s="110" t="e">
        <f>Ведомственная!I102</f>
        <v>#DIV/0!</v>
      </c>
    </row>
    <row r="112" spans="2:14">
      <c r="B112" s="62" t="s">
        <v>76</v>
      </c>
      <c r="C112" s="50" t="s">
        <v>37</v>
      </c>
      <c r="D112" s="50" t="s">
        <v>139</v>
      </c>
      <c r="E112" s="50"/>
      <c r="F112" s="110">
        <f t="shared" ref="F112:H113" si="59">F113</f>
        <v>70</v>
      </c>
      <c r="G112" s="110">
        <f t="shared" si="59"/>
        <v>20.5</v>
      </c>
      <c r="H112" s="110">
        <f t="shared" si="59"/>
        <v>0.29285714285714287</v>
      </c>
    </row>
    <row r="113" spans="2:8" ht="25.5">
      <c r="B113" s="62" t="s">
        <v>113</v>
      </c>
      <c r="C113" s="50" t="s">
        <v>37</v>
      </c>
      <c r="D113" s="50" t="s">
        <v>154</v>
      </c>
      <c r="E113" s="50"/>
      <c r="F113" s="110">
        <f t="shared" si="59"/>
        <v>70</v>
      </c>
      <c r="G113" s="110">
        <f t="shared" si="59"/>
        <v>20.5</v>
      </c>
      <c r="H113" s="110">
        <f t="shared" si="59"/>
        <v>0.29285714285714287</v>
      </c>
    </row>
    <row r="114" spans="2:8">
      <c r="B114" s="62" t="s">
        <v>19</v>
      </c>
      <c r="C114" s="50" t="s">
        <v>37</v>
      </c>
      <c r="D114" s="50" t="s">
        <v>154</v>
      </c>
      <c r="E114" s="50" t="s">
        <v>20</v>
      </c>
      <c r="F114" s="110">
        <f>Ведомственная!G105</f>
        <v>70</v>
      </c>
      <c r="G114" s="110">
        <f>Ведомственная!H105</f>
        <v>20.5</v>
      </c>
      <c r="H114" s="110">
        <f>Ведомственная!I105</f>
        <v>0.29285714285714287</v>
      </c>
    </row>
    <row r="115" spans="2:8" s="6" customFormat="1" ht="25.5">
      <c r="B115" s="14" t="s">
        <v>913</v>
      </c>
      <c r="C115" s="11" t="s">
        <v>38</v>
      </c>
      <c r="D115" s="11"/>
      <c r="E115" s="11"/>
      <c r="F115" s="108">
        <f>F116</f>
        <v>165.3</v>
      </c>
      <c r="G115" s="108">
        <f t="shared" ref="G115:H116" si="60">G116</f>
        <v>148</v>
      </c>
      <c r="H115" s="108" t="e">
        <f t="shared" si="60"/>
        <v>#DIV/0!</v>
      </c>
    </row>
    <row r="116" spans="2:8" s="6" customFormat="1" ht="25.5">
      <c r="B116" s="74" t="s">
        <v>700</v>
      </c>
      <c r="C116" s="11" t="s">
        <v>38</v>
      </c>
      <c r="D116" s="11" t="s">
        <v>155</v>
      </c>
      <c r="E116" s="11"/>
      <c r="F116" s="108">
        <f>F117</f>
        <v>165.3</v>
      </c>
      <c r="G116" s="108">
        <f t="shared" si="60"/>
        <v>148</v>
      </c>
      <c r="H116" s="108" t="e">
        <f t="shared" si="60"/>
        <v>#DIV/0!</v>
      </c>
    </row>
    <row r="117" spans="2:8">
      <c r="B117" s="62" t="s">
        <v>19</v>
      </c>
      <c r="C117" s="50" t="s">
        <v>38</v>
      </c>
      <c r="D117" s="50" t="s">
        <v>156</v>
      </c>
      <c r="E117" s="50"/>
      <c r="F117" s="110">
        <f>SUM(F118:F123)</f>
        <v>165.3</v>
      </c>
      <c r="G117" s="110">
        <f t="shared" ref="G117:H117" si="61">SUM(G118:G123)</f>
        <v>148</v>
      </c>
      <c r="H117" s="110" t="e">
        <f t="shared" si="61"/>
        <v>#DIV/0!</v>
      </c>
    </row>
    <row r="118" spans="2:8" ht="25.5">
      <c r="B118" s="62" t="s">
        <v>459</v>
      </c>
      <c r="C118" s="50" t="s">
        <v>38</v>
      </c>
      <c r="D118" s="50" t="s">
        <v>269</v>
      </c>
      <c r="E118" s="50" t="s">
        <v>20</v>
      </c>
      <c r="F118" s="110">
        <f>Ведомственная!G109</f>
        <v>22.3</v>
      </c>
      <c r="G118" s="110">
        <f>Ведомственная!H109</f>
        <v>11</v>
      </c>
      <c r="H118" s="110">
        <f>Ведомственная!I109</f>
        <v>0.49327354260089684</v>
      </c>
    </row>
    <row r="119" spans="2:8">
      <c r="B119" s="62" t="s">
        <v>460</v>
      </c>
      <c r="C119" s="50" t="s">
        <v>38</v>
      </c>
      <c r="D119" s="50" t="s">
        <v>270</v>
      </c>
      <c r="E119" s="50" t="s">
        <v>20</v>
      </c>
      <c r="F119" s="110">
        <f>Ведомственная!G110</f>
        <v>110</v>
      </c>
      <c r="G119" s="110">
        <f>Ведомственная!H110</f>
        <v>110</v>
      </c>
      <c r="H119" s="110">
        <f>Ведомственная!I110</f>
        <v>1</v>
      </c>
    </row>
    <row r="120" spans="2:8">
      <c r="B120" s="62" t="s">
        <v>461</v>
      </c>
      <c r="C120" s="50" t="s">
        <v>38</v>
      </c>
      <c r="D120" s="50" t="s">
        <v>465</v>
      </c>
      <c r="E120" s="50" t="s">
        <v>20</v>
      </c>
      <c r="F120" s="110">
        <f>Ведомственная!G111</f>
        <v>0</v>
      </c>
      <c r="G120" s="110">
        <f>Ведомственная!H111</f>
        <v>0</v>
      </c>
      <c r="H120" s="110">
        <f>Ведомственная!I111</f>
        <v>0</v>
      </c>
    </row>
    <row r="121" spans="2:8">
      <c r="B121" s="62" t="s">
        <v>462</v>
      </c>
      <c r="C121" s="50" t="s">
        <v>38</v>
      </c>
      <c r="D121" s="50" t="s">
        <v>466</v>
      </c>
      <c r="E121" s="50" t="s">
        <v>20</v>
      </c>
      <c r="F121" s="110">
        <f>Ведомственная!G112</f>
        <v>0</v>
      </c>
      <c r="G121" s="110">
        <f>Ведомственная!H112</f>
        <v>0</v>
      </c>
      <c r="H121" s="110">
        <f>Ведомственная!I112</f>
        <v>0</v>
      </c>
    </row>
    <row r="122" spans="2:8">
      <c r="B122" s="62" t="s">
        <v>463</v>
      </c>
      <c r="C122" s="50" t="s">
        <v>38</v>
      </c>
      <c r="D122" s="50" t="s">
        <v>467</v>
      </c>
      <c r="E122" s="50" t="s">
        <v>20</v>
      </c>
      <c r="F122" s="110">
        <f>Ведомственная!G113</f>
        <v>33</v>
      </c>
      <c r="G122" s="110">
        <f>Ведомственная!H113</f>
        <v>27</v>
      </c>
      <c r="H122" s="110">
        <f>Ведомственная!I113</f>
        <v>0.81818181818181823</v>
      </c>
    </row>
    <row r="123" spans="2:8" hidden="1">
      <c r="B123" s="62" t="s">
        <v>464</v>
      </c>
      <c r="C123" s="50" t="s">
        <v>38</v>
      </c>
      <c r="D123" s="50" t="s">
        <v>468</v>
      </c>
      <c r="E123" s="50" t="s">
        <v>20</v>
      </c>
      <c r="F123" s="110">
        <f>Ведомственная!G114</f>
        <v>0</v>
      </c>
      <c r="G123" s="110">
        <f>Ведомственная!H114</f>
        <v>0</v>
      </c>
      <c r="H123" s="110" t="e">
        <f>Ведомственная!I114</f>
        <v>#DIV/0!</v>
      </c>
    </row>
    <row r="124" spans="2:8" ht="25.5">
      <c r="B124" s="74" t="s">
        <v>80</v>
      </c>
      <c r="C124" s="11" t="s">
        <v>54</v>
      </c>
      <c r="D124" s="11"/>
      <c r="E124" s="11"/>
      <c r="F124" s="108">
        <f>F125+F128+F133+F136</f>
        <v>1714.5</v>
      </c>
      <c r="G124" s="108">
        <f t="shared" ref="G124:H124" si="62">G125+G128+G133+G136</f>
        <v>1014</v>
      </c>
      <c r="H124" s="108" t="e">
        <f t="shared" si="62"/>
        <v>#DIV/0!</v>
      </c>
    </row>
    <row r="125" spans="2:8" s="6" customFormat="1" ht="38.25">
      <c r="B125" s="74" t="s">
        <v>437</v>
      </c>
      <c r="C125" s="11" t="s">
        <v>54</v>
      </c>
      <c r="D125" s="11" t="s">
        <v>197</v>
      </c>
      <c r="E125" s="11"/>
      <c r="F125" s="108">
        <f t="shared" ref="F125:H126" si="63">F126</f>
        <v>4</v>
      </c>
      <c r="G125" s="108">
        <f t="shared" si="63"/>
        <v>4</v>
      </c>
      <c r="H125" s="108">
        <f t="shared" si="63"/>
        <v>1</v>
      </c>
    </row>
    <row r="126" spans="2:8">
      <c r="B126" s="62" t="s">
        <v>19</v>
      </c>
      <c r="C126" s="50" t="s">
        <v>54</v>
      </c>
      <c r="D126" s="50" t="s">
        <v>197</v>
      </c>
      <c r="E126" s="50"/>
      <c r="F126" s="110">
        <f t="shared" si="63"/>
        <v>4</v>
      </c>
      <c r="G126" s="110">
        <f t="shared" si="63"/>
        <v>4</v>
      </c>
      <c r="H126" s="110">
        <f t="shared" si="63"/>
        <v>1</v>
      </c>
    </row>
    <row r="127" spans="2:8">
      <c r="B127" s="62" t="s">
        <v>243</v>
      </c>
      <c r="C127" s="50" t="s">
        <v>54</v>
      </c>
      <c r="D127" s="50" t="s">
        <v>234</v>
      </c>
      <c r="E127" s="50" t="s">
        <v>20</v>
      </c>
      <c r="F127" s="110">
        <f>Ведомственная!G120</f>
        <v>4</v>
      </c>
      <c r="G127" s="110">
        <f>Ведомственная!H120</f>
        <v>4</v>
      </c>
      <c r="H127" s="110">
        <f>Ведомственная!I120</f>
        <v>1</v>
      </c>
    </row>
    <row r="128" spans="2:8" s="6" customFormat="1" ht="38.25">
      <c r="B128" s="74" t="s">
        <v>496</v>
      </c>
      <c r="C128" s="11" t="s">
        <v>54</v>
      </c>
      <c r="D128" s="11" t="s">
        <v>157</v>
      </c>
      <c r="E128" s="11"/>
      <c r="F128" s="108">
        <f>F129</f>
        <v>6</v>
      </c>
      <c r="G128" s="108">
        <f t="shared" ref="G128:H128" si="64">G129</f>
        <v>4</v>
      </c>
      <c r="H128" s="108" t="e">
        <f t="shared" si="64"/>
        <v>#DIV/0!</v>
      </c>
    </row>
    <row r="129" spans="2:14">
      <c r="B129" s="62" t="s">
        <v>19</v>
      </c>
      <c r="C129" s="50" t="s">
        <v>54</v>
      </c>
      <c r="D129" s="50" t="s">
        <v>158</v>
      </c>
      <c r="E129" s="50"/>
      <c r="F129" s="110">
        <f>F130+F131+F132</f>
        <v>6</v>
      </c>
      <c r="G129" s="110">
        <f t="shared" ref="G129:H129" si="65">G130+G131+G132</f>
        <v>4</v>
      </c>
      <c r="H129" s="110" t="e">
        <f t="shared" si="65"/>
        <v>#DIV/0!</v>
      </c>
    </row>
    <row r="130" spans="2:14">
      <c r="B130" s="62" t="s">
        <v>237</v>
      </c>
      <c r="C130" s="50" t="s">
        <v>54</v>
      </c>
      <c r="D130" s="50" t="s">
        <v>271</v>
      </c>
      <c r="E130" s="50" t="s">
        <v>20</v>
      </c>
      <c r="F130" s="110">
        <f>Ведомственная!G123</f>
        <v>4</v>
      </c>
      <c r="G130" s="110">
        <f>Ведомственная!H123</f>
        <v>4</v>
      </c>
      <c r="H130" s="110">
        <f>Ведомственная!I123</f>
        <v>1</v>
      </c>
    </row>
    <row r="131" spans="2:14" ht="25.5" hidden="1">
      <c r="B131" s="62" t="s">
        <v>469</v>
      </c>
      <c r="C131" s="50" t="s">
        <v>54</v>
      </c>
      <c r="D131" s="50" t="s">
        <v>272</v>
      </c>
      <c r="E131" s="50" t="s">
        <v>20</v>
      </c>
      <c r="F131" s="110">
        <f>Ведомственная!G124</f>
        <v>0</v>
      </c>
      <c r="G131" s="110">
        <f>Ведомственная!H124</f>
        <v>0</v>
      </c>
      <c r="H131" s="110" t="e">
        <f>Ведомственная!I124</f>
        <v>#DIV/0!</v>
      </c>
    </row>
    <row r="132" spans="2:14" ht="25.5">
      <c r="B132" s="62" t="s">
        <v>470</v>
      </c>
      <c r="C132" s="50" t="s">
        <v>54</v>
      </c>
      <c r="D132" s="50" t="s">
        <v>273</v>
      </c>
      <c r="E132" s="50" t="s">
        <v>20</v>
      </c>
      <c r="F132" s="110">
        <f>Ведомственная!G125</f>
        <v>2</v>
      </c>
      <c r="G132" s="110">
        <f>Ведомственная!H125</f>
        <v>0</v>
      </c>
      <c r="H132" s="110">
        <f>Ведомственная!I125</f>
        <v>0</v>
      </c>
    </row>
    <row r="133" spans="2:14" s="6" customFormat="1" ht="25.5">
      <c r="B133" s="74" t="s">
        <v>438</v>
      </c>
      <c r="C133" s="11" t="s">
        <v>54</v>
      </c>
      <c r="D133" s="11" t="s">
        <v>159</v>
      </c>
      <c r="E133" s="11"/>
      <c r="F133" s="108">
        <f>F134</f>
        <v>4.5</v>
      </c>
      <c r="G133" s="108">
        <f t="shared" ref="G133:H133" si="66">G134</f>
        <v>4.5</v>
      </c>
      <c r="H133" s="108">
        <f t="shared" si="66"/>
        <v>1</v>
      </c>
    </row>
    <row r="134" spans="2:14" s="6" customFormat="1">
      <c r="B134" s="62" t="s">
        <v>19</v>
      </c>
      <c r="C134" s="50" t="s">
        <v>54</v>
      </c>
      <c r="D134" s="50" t="s">
        <v>160</v>
      </c>
      <c r="E134" s="50"/>
      <c r="F134" s="110">
        <f t="shared" ref="F134:H134" si="67">F135</f>
        <v>4.5</v>
      </c>
      <c r="G134" s="110">
        <f t="shared" si="67"/>
        <v>4.5</v>
      </c>
      <c r="H134" s="110">
        <f t="shared" si="67"/>
        <v>1</v>
      </c>
    </row>
    <row r="135" spans="2:14" s="6" customFormat="1">
      <c r="B135" s="62" t="s">
        <v>256</v>
      </c>
      <c r="C135" s="50" t="s">
        <v>54</v>
      </c>
      <c r="D135" s="50" t="s">
        <v>274</v>
      </c>
      <c r="E135" s="50" t="s">
        <v>20</v>
      </c>
      <c r="F135" s="110">
        <f>Ведомственная!G128</f>
        <v>4.5</v>
      </c>
      <c r="G135" s="110">
        <f>Ведомственная!H128</f>
        <v>4.5</v>
      </c>
      <c r="H135" s="110">
        <f>Ведомственная!I128</f>
        <v>1</v>
      </c>
    </row>
    <row r="136" spans="2:14" s="6" customFormat="1" ht="38.25">
      <c r="B136" s="14" t="s">
        <v>924</v>
      </c>
      <c r="C136" s="11" t="s">
        <v>54</v>
      </c>
      <c r="D136" s="11" t="s">
        <v>921</v>
      </c>
      <c r="E136" s="11"/>
      <c r="F136" s="108">
        <f>F137+F138+F139</f>
        <v>1700</v>
      </c>
      <c r="G136" s="108">
        <f t="shared" ref="G136:H136" si="68">G137+G138+G139</f>
        <v>1001.5</v>
      </c>
      <c r="H136" s="108">
        <f t="shared" si="68"/>
        <v>1.3749310344827586</v>
      </c>
    </row>
    <row r="137" spans="2:14" s="6" customFormat="1" ht="51">
      <c r="B137" s="15" t="s">
        <v>17</v>
      </c>
      <c r="C137" s="50" t="s">
        <v>54</v>
      </c>
      <c r="D137" s="50" t="s">
        <v>921</v>
      </c>
      <c r="E137" s="50" t="s">
        <v>18</v>
      </c>
      <c r="F137" s="110">
        <f>Ведомственная!G130</f>
        <v>1595</v>
      </c>
      <c r="G137" s="110">
        <f>Ведомственная!H130</f>
        <v>921.8</v>
      </c>
      <c r="H137" s="110">
        <f>Ведомственная!I130</f>
        <v>0.57793103448275862</v>
      </c>
    </row>
    <row r="138" spans="2:14" s="6" customFormat="1">
      <c r="B138" s="15" t="s">
        <v>19</v>
      </c>
      <c r="C138" s="50" t="s">
        <v>54</v>
      </c>
      <c r="D138" s="50" t="s">
        <v>921</v>
      </c>
      <c r="E138" s="50" t="s">
        <v>20</v>
      </c>
      <c r="F138" s="110">
        <f>Ведомственная!G131</f>
        <v>100</v>
      </c>
      <c r="G138" s="110">
        <f>Ведомственная!H131</f>
        <v>79.7</v>
      </c>
      <c r="H138" s="110">
        <f>Ведомственная!I131</f>
        <v>0.79700000000000004</v>
      </c>
    </row>
    <row r="139" spans="2:14" s="6" customFormat="1">
      <c r="B139" s="15" t="s">
        <v>21</v>
      </c>
      <c r="C139" s="50" t="s">
        <v>54</v>
      </c>
      <c r="D139" s="50" t="s">
        <v>151</v>
      </c>
      <c r="E139" s="50" t="s">
        <v>22</v>
      </c>
      <c r="F139" s="110">
        <f>Ведомственная!G132</f>
        <v>5</v>
      </c>
      <c r="G139" s="110">
        <f>Ведомственная!H132</f>
        <v>0</v>
      </c>
      <c r="H139" s="110">
        <f>Ведомственная!I132</f>
        <v>0</v>
      </c>
    </row>
    <row r="140" spans="2:14">
      <c r="B140" s="74" t="s">
        <v>97</v>
      </c>
      <c r="C140" s="11" t="s">
        <v>92</v>
      </c>
      <c r="D140" s="50"/>
      <c r="E140" s="50"/>
      <c r="F140" s="108">
        <f>F141+F144+F162+F171+F153</f>
        <v>31156.300000000003</v>
      </c>
      <c r="G140" s="108">
        <f t="shared" ref="G140:H140" si="69">G141+G144+G162+G171+G153</f>
        <v>24184.400000000001</v>
      </c>
      <c r="H140" s="108" t="e">
        <f t="shared" si="69"/>
        <v>#DIV/0!</v>
      </c>
      <c r="I140" s="32">
        <f>Ведомственная!G133</f>
        <v>31156.300000000003</v>
      </c>
      <c r="J140" s="32">
        <f>Ведомственная!H133</f>
        <v>24184.400000000001</v>
      </c>
      <c r="K140" s="32">
        <f>Ведомственная!I133</f>
        <v>0.77622824276310087</v>
      </c>
      <c r="L140" s="32">
        <f>I140-F140</f>
        <v>0</v>
      </c>
      <c r="M140" s="32">
        <f t="shared" ref="M140" si="70">J140-G140</f>
        <v>0</v>
      </c>
      <c r="N140" s="32" t="e">
        <f t="shared" ref="N140" si="71">K140-H140</f>
        <v>#DIV/0!</v>
      </c>
    </row>
    <row r="141" spans="2:14">
      <c r="B141" s="74" t="s">
        <v>215</v>
      </c>
      <c r="C141" s="11" t="s">
        <v>214</v>
      </c>
      <c r="D141" s="50"/>
      <c r="E141" s="50"/>
      <c r="F141" s="108">
        <f t="shared" ref="F141:H142" si="72">F142</f>
        <v>34.200000000000003</v>
      </c>
      <c r="G141" s="108">
        <f t="shared" si="72"/>
        <v>0</v>
      </c>
      <c r="H141" s="108">
        <f t="shared" si="72"/>
        <v>0</v>
      </c>
    </row>
    <row r="142" spans="2:14">
      <c r="B142" s="62" t="s">
        <v>76</v>
      </c>
      <c r="C142" s="50" t="s">
        <v>214</v>
      </c>
      <c r="D142" s="50" t="s">
        <v>139</v>
      </c>
      <c r="E142" s="50"/>
      <c r="F142" s="110">
        <f t="shared" si="72"/>
        <v>34.200000000000003</v>
      </c>
      <c r="G142" s="110">
        <f t="shared" si="72"/>
        <v>0</v>
      </c>
      <c r="H142" s="110">
        <f t="shared" si="72"/>
        <v>0</v>
      </c>
    </row>
    <row r="143" spans="2:14" ht="51">
      <c r="B143" s="62" t="s">
        <v>114</v>
      </c>
      <c r="C143" s="50" t="s">
        <v>214</v>
      </c>
      <c r="D143" s="50" t="s">
        <v>216</v>
      </c>
      <c r="E143" s="50" t="s">
        <v>20</v>
      </c>
      <c r="F143" s="110">
        <f>Ведомственная!G136</f>
        <v>34.200000000000003</v>
      </c>
      <c r="G143" s="110">
        <f>Ведомственная!H136</f>
        <v>0</v>
      </c>
      <c r="H143" s="110">
        <f>Ведомственная!I136</f>
        <v>0</v>
      </c>
    </row>
    <row r="144" spans="2:14">
      <c r="B144" s="74" t="s">
        <v>195</v>
      </c>
      <c r="C144" s="11" t="s">
        <v>196</v>
      </c>
      <c r="D144" s="50"/>
      <c r="E144" s="50"/>
      <c r="F144" s="108">
        <f>F145+F148+F150</f>
        <v>3084.8</v>
      </c>
      <c r="G144" s="108">
        <f t="shared" ref="G144:H144" si="73">G145+G148+G150</f>
        <v>3055.4</v>
      </c>
      <c r="H144" s="108">
        <f t="shared" si="73"/>
        <v>3.9666499056884739</v>
      </c>
    </row>
    <row r="145" spans="2:8" ht="76.5">
      <c r="B145" s="98" t="s">
        <v>702</v>
      </c>
      <c r="C145" s="50" t="s">
        <v>196</v>
      </c>
      <c r="D145" s="50" t="s">
        <v>258</v>
      </c>
      <c r="E145" s="50"/>
      <c r="F145" s="110">
        <f t="shared" ref="F145:H146" si="74">F146</f>
        <v>2302.4</v>
      </c>
      <c r="G145" s="110">
        <f t="shared" si="74"/>
        <v>2293.6999999999998</v>
      </c>
      <c r="H145" s="110">
        <f t="shared" si="74"/>
        <v>0.99622133425990256</v>
      </c>
    </row>
    <row r="146" spans="2:8">
      <c r="B146" s="62" t="s">
        <v>19</v>
      </c>
      <c r="C146" s="50" t="s">
        <v>196</v>
      </c>
      <c r="D146" s="50" t="s">
        <v>278</v>
      </c>
      <c r="E146" s="50"/>
      <c r="F146" s="110">
        <f>F147</f>
        <v>2302.4</v>
      </c>
      <c r="G146" s="110">
        <f t="shared" si="74"/>
        <v>2293.6999999999998</v>
      </c>
      <c r="H146" s="110">
        <f t="shared" si="74"/>
        <v>0.99622133425990256</v>
      </c>
    </row>
    <row r="147" spans="2:8" ht="38.25">
      <c r="B147" s="62" t="s">
        <v>259</v>
      </c>
      <c r="C147" s="50" t="s">
        <v>196</v>
      </c>
      <c r="D147" s="50" t="s">
        <v>279</v>
      </c>
      <c r="E147" s="50" t="s">
        <v>20</v>
      </c>
      <c r="F147" s="110">
        <f>Ведомственная!G140</f>
        <v>2302.4</v>
      </c>
      <c r="G147" s="110">
        <f>Ведомственная!H140</f>
        <v>2293.6999999999998</v>
      </c>
      <c r="H147" s="110">
        <f>Ведомственная!I140</f>
        <v>0.99622133425990256</v>
      </c>
    </row>
    <row r="148" spans="2:8">
      <c r="B148" s="62" t="s">
        <v>641</v>
      </c>
      <c r="C148" s="50" t="s">
        <v>196</v>
      </c>
      <c r="D148" s="50" t="s">
        <v>642</v>
      </c>
      <c r="E148" s="50"/>
      <c r="F148" s="110">
        <f>F149</f>
        <v>700</v>
      </c>
      <c r="G148" s="110">
        <f t="shared" ref="G148:H148" si="75">G149</f>
        <v>679.3</v>
      </c>
      <c r="H148" s="110">
        <f t="shared" si="75"/>
        <v>0.97042857142857142</v>
      </c>
    </row>
    <row r="149" spans="2:8">
      <c r="B149" s="62" t="s">
        <v>19</v>
      </c>
      <c r="C149" s="50" t="s">
        <v>196</v>
      </c>
      <c r="D149" s="50" t="s">
        <v>642</v>
      </c>
      <c r="E149" s="50" t="s">
        <v>20</v>
      </c>
      <c r="F149" s="110">
        <f>Ведомственная!G142</f>
        <v>700</v>
      </c>
      <c r="G149" s="110">
        <f>Ведомственная!H142</f>
        <v>679.3</v>
      </c>
      <c r="H149" s="110">
        <f>Ведомственная!I142</f>
        <v>0.97042857142857142</v>
      </c>
    </row>
    <row r="150" spans="2:8" ht="25.5">
      <c r="B150" s="15" t="s">
        <v>852</v>
      </c>
      <c r="C150" s="50" t="s">
        <v>196</v>
      </c>
      <c r="D150" s="50" t="s">
        <v>853</v>
      </c>
      <c r="E150" s="50"/>
      <c r="F150" s="110">
        <f>F151+F152</f>
        <v>82.4</v>
      </c>
      <c r="G150" s="110">
        <f t="shared" ref="G150:H150" si="76">G151+G152</f>
        <v>82.399999999999991</v>
      </c>
      <c r="H150" s="110">
        <f t="shared" si="76"/>
        <v>1.9999999999999998</v>
      </c>
    </row>
    <row r="151" spans="2:8" ht="51">
      <c r="B151" s="15" t="s">
        <v>17</v>
      </c>
      <c r="C151" s="50" t="s">
        <v>196</v>
      </c>
      <c r="D151" s="50" t="s">
        <v>853</v>
      </c>
      <c r="E151" s="50" t="s">
        <v>18</v>
      </c>
      <c r="F151" s="110">
        <f>Ведомственная!G144</f>
        <v>74.800000000000011</v>
      </c>
      <c r="G151" s="110">
        <f>Ведомственная!H144</f>
        <v>74.8</v>
      </c>
      <c r="H151" s="110">
        <f>Ведомственная!I144</f>
        <v>0.99999999999999978</v>
      </c>
    </row>
    <row r="152" spans="2:8" s="137" customFormat="1">
      <c r="B152" s="62" t="s">
        <v>19</v>
      </c>
      <c r="C152" s="50" t="s">
        <v>196</v>
      </c>
      <c r="D152" s="50" t="s">
        <v>853</v>
      </c>
      <c r="E152" s="50" t="s">
        <v>20</v>
      </c>
      <c r="F152" s="110">
        <f>Ведомственная!G145</f>
        <v>7.6</v>
      </c>
      <c r="G152" s="110">
        <f>Ведомственная!H145</f>
        <v>7.6</v>
      </c>
      <c r="H152" s="110">
        <f>Ведомственная!I145</f>
        <v>1</v>
      </c>
    </row>
    <row r="153" spans="2:8">
      <c r="B153" s="74" t="s">
        <v>381</v>
      </c>
      <c r="C153" s="11" t="s">
        <v>377</v>
      </c>
      <c r="D153" s="50"/>
      <c r="E153" s="50"/>
      <c r="F153" s="108">
        <f>F154+F156+F159</f>
        <v>26511.300000000003</v>
      </c>
      <c r="G153" s="108">
        <f t="shared" ref="G153:H153" si="77">G154+G156+G159</f>
        <v>20035.600000000002</v>
      </c>
      <c r="H153" s="108">
        <f t="shared" si="77"/>
        <v>4.2275503320934682</v>
      </c>
    </row>
    <row r="154" spans="2:8" ht="25.5">
      <c r="B154" s="62" t="s">
        <v>492</v>
      </c>
      <c r="C154" s="50" t="s">
        <v>377</v>
      </c>
      <c r="D154" s="50" t="s">
        <v>491</v>
      </c>
      <c r="E154" s="50"/>
      <c r="F154" s="110">
        <f t="shared" ref="F154:H154" si="78">F155</f>
        <v>9759.6</v>
      </c>
      <c r="G154" s="110">
        <f t="shared" si="78"/>
        <v>4108.8</v>
      </c>
      <c r="H154" s="110">
        <f t="shared" si="78"/>
        <v>0.42100086069101195</v>
      </c>
    </row>
    <row r="155" spans="2:8">
      <c r="B155" s="62" t="s">
        <v>19</v>
      </c>
      <c r="C155" s="50" t="s">
        <v>377</v>
      </c>
      <c r="D155" s="50" t="s">
        <v>491</v>
      </c>
      <c r="E155" s="50" t="s">
        <v>20</v>
      </c>
      <c r="F155" s="110">
        <f>Ведомственная!G148</f>
        <v>9759.6</v>
      </c>
      <c r="G155" s="110">
        <f>Ведомственная!H148</f>
        <v>4108.8</v>
      </c>
      <c r="H155" s="110">
        <f>Ведомственная!I148</f>
        <v>0.42100086069101195</v>
      </c>
    </row>
    <row r="156" spans="2:8">
      <c r="B156" s="62" t="s">
        <v>583</v>
      </c>
      <c r="C156" s="50" t="s">
        <v>377</v>
      </c>
      <c r="D156" s="50" t="s">
        <v>582</v>
      </c>
      <c r="E156" s="50"/>
      <c r="F156" s="110">
        <f>SUM(F157:F158)</f>
        <v>8670.7000000000007</v>
      </c>
      <c r="G156" s="110">
        <f t="shared" ref="G156:H156" si="79">SUM(G157:G158)</f>
        <v>7968.6</v>
      </c>
      <c r="H156" s="110">
        <f t="shared" si="79"/>
        <v>1.8280098109086296</v>
      </c>
    </row>
    <row r="157" spans="2:8">
      <c r="B157" s="62" t="s">
        <v>19</v>
      </c>
      <c r="C157" s="50" t="s">
        <v>377</v>
      </c>
      <c r="D157" s="50" t="s">
        <v>582</v>
      </c>
      <c r="E157" s="50" t="s">
        <v>20</v>
      </c>
      <c r="F157" s="110">
        <f>Ведомственная!G150</f>
        <v>86.7</v>
      </c>
      <c r="G157" s="110">
        <f>Ведомственная!H150</f>
        <v>78.8</v>
      </c>
      <c r="H157" s="110">
        <f>Ведомственная!I150</f>
        <v>0.90888119953863888</v>
      </c>
    </row>
    <row r="158" spans="2:8" ht="25.5">
      <c r="B158" s="62" t="s">
        <v>509</v>
      </c>
      <c r="C158" s="50" t="s">
        <v>377</v>
      </c>
      <c r="D158" s="50" t="s">
        <v>582</v>
      </c>
      <c r="E158" s="50" t="s">
        <v>20</v>
      </c>
      <c r="F158" s="110">
        <f>Ведомственная!G151</f>
        <v>8584</v>
      </c>
      <c r="G158" s="110">
        <f>Ведомственная!H151</f>
        <v>7889.8</v>
      </c>
      <c r="H158" s="110">
        <f>Ведомственная!I151</f>
        <v>0.91912861136999069</v>
      </c>
    </row>
    <row r="159" spans="2:8" ht="25.5">
      <c r="B159" s="62" t="s">
        <v>584</v>
      </c>
      <c r="C159" s="50" t="s">
        <v>377</v>
      </c>
      <c r="D159" s="50" t="s">
        <v>585</v>
      </c>
      <c r="E159" s="50"/>
      <c r="F159" s="110">
        <f>SUM(F160:F161)</f>
        <v>8081</v>
      </c>
      <c r="G159" s="110">
        <f t="shared" ref="G159:H159" si="80">SUM(G160:G161)</f>
        <v>7958.2</v>
      </c>
      <c r="H159" s="110">
        <f t="shared" si="80"/>
        <v>1.9785396604938272</v>
      </c>
    </row>
    <row r="160" spans="2:8">
      <c r="B160" s="62" t="s">
        <v>19</v>
      </c>
      <c r="C160" s="50" t="s">
        <v>377</v>
      </c>
      <c r="D160" s="50" t="s">
        <v>585</v>
      </c>
      <c r="E160" s="50" t="s">
        <v>20</v>
      </c>
      <c r="F160" s="110">
        <f>Ведомственная!G153</f>
        <v>81</v>
      </c>
      <c r="G160" s="110">
        <f>Ведомственная!H153</f>
        <v>80.5</v>
      </c>
      <c r="H160" s="110">
        <f>Ведомственная!I153</f>
        <v>0.99382716049382713</v>
      </c>
    </row>
    <row r="161" spans="2:8" ht="25.5">
      <c r="B161" s="62" t="s">
        <v>509</v>
      </c>
      <c r="C161" s="50" t="s">
        <v>377</v>
      </c>
      <c r="D161" s="50" t="s">
        <v>585</v>
      </c>
      <c r="E161" s="50" t="s">
        <v>20</v>
      </c>
      <c r="F161" s="110">
        <f>Ведомственная!G154</f>
        <v>8000</v>
      </c>
      <c r="G161" s="110">
        <f>Ведомственная!H154</f>
        <v>7877.7</v>
      </c>
      <c r="H161" s="110">
        <f>Ведомственная!I154</f>
        <v>0.98471249999999999</v>
      </c>
    </row>
    <row r="162" spans="2:8">
      <c r="B162" s="74" t="s">
        <v>311</v>
      </c>
      <c r="C162" s="11" t="s">
        <v>312</v>
      </c>
      <c r="D162" s="50"/>
      <c r="E162" s="50"/>
      <c r="F162" s="108">
        <f>F163</f>
        <v>682</v>
      </c>
      <c r="G162" s="108">
        <f t="shared" ref="G162:H162" si="81">G163</f>
        <v>562.5</v>
      </c>
      <c r="H162" s="108">
        <f t="shared" si="81"/>
        <v>2.0780333333333334</v>
      </c>
    </row>
    <row r="163" spans="2:8" ht="25.5">
      <c r="B163" s="74" t="s">
        <v>707</v>
      </c>
      <c r="C163" s="50" t="s">
        <v>312</v>
      </c>
      <c r="D163" s="50" t="s">
        <v>263</v>
      </c>
      <c r="E163" s="50"/>
      <c r="F163" s="110">
        <f>F164</f>
        <v>682</v>
      </c>
      <c r="G163" s="110">
        <f t="shared" ref="G163:H163" si="82">G164</f>
        <v>562.5</v>
      </c>
      <c r="H163" s="110">
        <f t="shared" si="82"/>
        <v>2.0780333333333334</v>
      </c>
    </row>
    <row r="164" spans="2:8">
      <c r="B164" s="62" t="s">
        <v>19</v>
      </c>
      <c r="C164" s="50" t="s">
        <v>312</v>
      </c>
      <c r="D164" s="50" t="s">
        <v>313</v>
      </c>
      <c r="E164" s="50" t="s">
        <v>20</v>
      </c>
      <c r="F164" s="110">
        <f>SUM(F165:F170)</f>
        <v>682</v>
      </c>
      <c r="G164" s="110">
        <f t="shared" ref="G164:H164" si="83">SUM(G165:G170)</f>
        <v>562.5</v>
      </c>
      <c r="H164" s="110">
        <f t="shared" si="83"/>
        <v>2.0780333333333334</v>
      </c>
    </row>
    <row r="165" spans="2:8" ht="38.25">
      <c r="B165" s="62" t="s">
        <v>888</v>
      </c>
      <c r="C165" s="50" t="s">
        <v>312</v>
      </c>
      <c r="D165" s="50" t="s">
        <v>314</v>
      </c>
      <c r="E165" s="50" t="s">
        <v>20</v>
      </c>
      <c r="F165" s="110">
        <f>Ведомственная!G158</f>
        <v>500</v>
      </c>
      <c r="G165" s="110">
        <f>Ведомственная!H158</f>
        <v>432.1</v>
      </c>
      <c r="H165" s="110">
        <f>Ведомственная!I158</f>
        <v>0.86420000000000008</v>
      </c>
    </row>
    <row r="166" spans="2:8" ht="25.5">
      <c r="B166" s="62" t="s">
        <v>886</v>
      </c>
      <c r="C166" s="50" t="s">
        <v>312</v>
      </c>
      <c r="D166" s="50" t="s">
        <v>315</v>
      </c>
      <c r="E166" s="50" t="s">
        <v>20</v>
      </c>
      <c r="F166" s="110">
        <f>Ведомственная!G159</f>
        <v>10</v>
      </c>
      <c r="G166" s="110">
        <f>Ведомственная!H159</f>
        <v>0</v>
      </c>
      <c r="H166" s="110">
        <f>Ведомственная!I159</f>
        <v>0</v>
      </c>
    </row>
    <row r="167" spans="2:8" ht="38.25">
      <c r="B167" s="62" t="s">
        <v>887</v>
      </c>
      <c r="C167" s="50" t="s">
        <v>312</v>
      </c>
      <c r="D167" s="50" t="s">
        <v>647</v>
      </c>
      <c r="E167" s="50" t="s">
        <v>20</v>
      </c>
      <c r="F167" s="110">
        <f>Ведомственная!G160</f>
        <v>1</v>
      </c>
      <c r="G167" s="110">
        <f>Ведомственная!H160</f>
        <v>0</v>
      </c>
      <c r="H167" s="110">
        <f>Ведомственная!I160</f>
        <v>0</v>
      </c>
    </row>
    <row r="168" spans="2:8">
      <c r="B168" s="62" t="s">
        <v>703</v>
      </c>
      <c r="C168" s="50" t="s">
        <v>312</v>
      </c>
      <c r="D168" s="50" t="s">
        <v>648</v>
      </c>
      <c r="E168" s="50" t="s">
        <v>20</v>
      </c>
      <c r="F168" s="110">
        <f>Ведомственная!G161</f>
        <v>120</v>
      </c>
      <c r="G168" s="110">
        <f>Ведомственная!H161</f>
        <v>119.5</v>
      </c>
      <c r="H168" s="110">
        <f>Ведомственная!I161</f>
        <v>0.99583333333333335</v>
      </c>
    </row>
    <row r="169" spans="2:8">
      <c r="B169" s="62" t="s">
        <v>704</v>
      </c>
      <c r="C169" s="50" t="s">
        <v>312</v>
      </c>
      <c r="D169" s="50" t="s">
        <v>521</v>
      </c>
      <c r="E169" s="50" t="s">
        <v>20</v>
      </c>
      <c r="F169" s="110">
        <f>Ведомственная!G162</f>
        <v>1</v>
      </c>
      <c r="G169" s="110">
        <f>Ведомственная!H162</f>
        <v>0</v>
      </c>
      <c r="H169" s="110">
        <f>Ведомственная!I162</f>
        <v>0</v>
      </c>
    </row>
    <row r="170" spans="2:8" ht="25.5">
      <c r="B170" s="62" t="s">
        <v>889</v>
      </c>
      <c r="C170" s="50" t="s">
        <v>312</v>
      </c>
      <c r="D170" s="50" t="s">
        <v>591</v>
      </c>
      <c r="E170" s="50" t="s">
        <v>20</v>
      </c>
      <c r="F170" s="110">
        <f>Ведомственная!G163</f>
        <v>50</v>
      </c>
      <c r="G170" s="110">
        <f>Ведомственная!H163</f>
        <v>10.9</v>
      </c>
      <c r="H170" s="110">
        <f>Ведомственная!I163</f>
        <v>0.218</v>
      </c>
    </row>
    <row r="171" spans="2:8">
      <c r="B171" s="74" t="s">
        <v>90</v>
      </c>
      <c r="C171" s="11" t="s">
        <v>91</v>
      </c>
      <c r="D171" s="50"/>
      <c r="E171" s="50"/>
      <c r="F171" s="108">
        <f>F179+F182+F172+F190+F192+F187</f>
        <v>844</v>
      </c>
      <c r="G171" s="108">
        <f t="shared" ref="G171:H171" si="84">G179+G182+G172+G190+G192+G187</f>
        <v>530.9</v>
      </c>
      <c r="H171" s="108" t="e">
        <f t="shared" si="84"/>
        <v>#DIV/0!</v>
      </c>
    </row>
    <row r="172" spans="2:8" s="6" customFormat="1" ht="25.5">
      <c r="B172" s="74" t="s">
        <v>439</v>
      </c>
      <c r="C172" s="11" t="s">
        <v>91</v>
      </c>
      <c r="D172" s="11" t="s">
        <v>146</v>
      </c>
      <c r="E172" s="11"/>
      <c r="F172" s="108">
        <f>F173</f>
        <v>116.5</v>
      </c>
      <c r="G172" s="108">
        <f t="shared" ref="G172:H172" si="85">G173</f>
        <v>89.8</v>
      </c>
      <c r="H172" s="108" t="e">
        <f t="shared" si="85"/>
        <v>#DIV/0!</v>
      </c>
    </row>
    <row r="173" spans="2:8">
      <c r="B173" s="62" t="s">
        <v>19</v>
      </c>
      <c r="C173" s="50" t="s">
        <v>91</v>
      </c>
      <c r="D173" s="50" t="s">
        <v>147</v>
      </c>
      <c r="E173" s="50"/>
      <c r="F173" s="110">
        <f>SUM(F174:F178)</f>
        <v>116.5</v>
      </c>
      <c r="G173" s="110">
        <f t="shared" ref="G173:H173" si="86">SUM(G174:G178)</f>
        <v>89.8</v>
      </c>
      <c r="H173" s="110" t="e">
        <f t="shared" si="86"/>
        <v>#DIV/0!</v>
      </c>
    </row>
    <row r="174" spans="2:8">
      <c r="B174" s="62" t="s">
        <v>458</v>
      </c>
      <c r="C174" s="50" t="s">
        <v>91</v>
      </c>
      <c r="D174" s="50" t="s">
        <v>293</v>
      </c>
      <c r="E174" s="50" t="s">
        <v>20</v>
      </c>
      <c r="F174" s="110">
        <f>Ведомственная!G167</f>
        <v>0</v>
      </c>
      <c r="G174" s="110">
        <f>Ведомственная!H167</f>
        <v>0</v>
      </c>
      <c r="H174" s="110" t="e">
        <f>Ведомственная!I167</f>
        <v>#DIV/0!</v>
      </c>
    </row>
    <row r="175" spans="2:8">
      <c r="B175" s="62" t="s">
        <v>287</v>
      </c>
      <c r="C175" s="50" t="s">
        <v>91</v>
      </c>
      <c r="D175" s="50" t="s">
        <v>294</v>
      </c>
      <c r="E175" s="50" t="s">
        <v>128</v>
      </c>
      <c r="F175" s="110">
        <f>Ведомственная!G168</f>
        <v>2.5</v>
      </c>
      <c r="G175" s="110">
        <f>Ведомственная!H168</f>
        <v>2.5</v>
      </c>
      <c r="H175" s="110">
        <f>Ведомственная!I168</f>
        <v>1</v>
      </c>
    </row>
    <row r="176" spans="2:8">
      <c r="B176" s="62" t="s">
        <v>286</v>
      </c>
      <c r="C176" s="50" t="s">
        <v>91</v>
      </c>
      <c r="D176" s="50" t="s">
        <v>295</v>
      </c>
      <c r="E176" s="50" t="s">
        <v>128</v>
      </c>
      <c r="F176" s="110">
        <f>Ведомственная!G169</f>
        <v>75</v>
      </c>
      <c r="G176" s="110">
        <f>Ведомственная!H169</f>
        <v>75</v>
      </c>
      <c r="H176" s="110">
        <f>Ведомственная!I169</f>
        <v>1</v>
      </c>
    </row>
    <row r="177" spans="2:8">
      <c r="B177" s="62" t="s">
        <v>288</v>
      </c>
      <c r="C177" s="50" t="s">
        <v>91</v>
      </c>
      <c r="D177" s="50" t="s">
        <v>296</v>
      </c>
      <c r="E177" s="50" t="s">
        <v>20</v>
      </c>
      <c r="F177" s="110">
        <f>Ведомственная!G170</f>
        <v>39</v>
      </c>
      <c r="G177" s="110">
        <f>Ведомственная!H170</f>
        <v>12.3</v>
      </c>
      <c r="H177" s="110">
        <f>Ведомственная!I170</f>
        <v>0.31538461538461543</v>
      </c>
    </row>
    <row r="178" spans="2:8">
      <c r="B178" s="62" t="s">
        <v>289</v>
      </c>
      <c r="C178" s="50" t="s">
        <v>91</v>
      </c>
      <c r="D178" s="50" t="s">
        <v>457</v>
      </c>
      <c r="E178" s="50" t="s">
        <v>20</v>
      </c>
      <c r="F178" s="110">
        <f>Ведомственная!G171</f>
        <v>0</v>
      </c>
      <c r="G178" s="110">
        <f>Ведомственная!H171</f>
        <v>0</v>
      </c>
      <c r="H178" s="110" t="e">
        <f>Ведомственная!I171</f>
        <v>#DIV/0!</v>
      </c>
    </row>
    <row r="179" spans="2:8" s="6" customFormat="1" ht="38.25">
      <c r="B179" s="99" t="s">
        <v>440</v>
      </c>
      <c r="C179" s="11" t="s">
        <v>91</v>
      </c>
      <c r="D179" s="11" t="s">
        <v>299</v>
      </c>
      <c r="E179" s="11"/>
      <c r="F179" s="108">
        <f>F180</f>
        <v>7.5</v>
      </c>
      <c r="G179" s="108">
        <f t="shared" ref="G179:H179" si="87">G180</f>
        <v>0.6</v>
      </c>
      <c r="H179" s="108">
        <f t="shared" si="87"/>
        <v>0.08</v>
      </c>
    </row>
    <row r="180" spans="2:8">
      <c r="B180" s="62" t="s">
        <v>19</v>
      </c>
      <c r="C180" s="50" t="s">
        <v>91</v>
      </c>
      <c r="D180" s="50" t="s">
        <v>276</v>
      </c>
      <c r="E180" s="50"/>
      <c r="F180" s="110">
        <f>F181</f>
        <v>7.5</v>
      </c>
      <c r="G180" s="110">
        <f t="shared" ref="G180:H180" si="88">G181</f>
        <v>0.6</v>
      </c>
      <c r="H180" s="110">
        <f t="shared" si="88"/>
        <v>0.08</v>
      </c>
    </row>
    <row r="181" spans="2:8" ht="25.5">
      <c r="B181" s="100" t="s">
        <v>449</v>
      </c>
      <c r="C181" s="50" t="s">
        <v>91</v>
      </c>
      <c r="D181" s="50" t="s">
        <v>277</v>
      </c>
      <c r="E181" s="50" t="s">
        <v>20</v>
      </c>
      <c r="F181" s="110">
        <f>Ведомственная!G174</f>
        <v>7.5</v>
      </c>
      <c r="G181" s="110">
        <f>Ведомственная!H174</f>
        <v>0.6</v>
      </c>
      <c r="H181" s="110">
        <f>Ведомственная!I174</f>
        <v>0.08</v>
      </c>
    </row>
    <row r="182" spans="2:8" s="6" customFormat="1" ht="38.25">
      <c r="B182" s="74" t="s">
        <v>780</v>
      </c>
      <c r="C182" s="11" t="s">
        <v>91</v>
      </c>
      <c r="D182" s="11" t="s">
        <v>690</v>
      </c>
      <c r="E182" s="11"/>
      <c r="F182" s="108">
        <f>F183</f>
        <v>720</v>
      </c>
      <c r="G182" s="108">
        <f t="shared" ref="G182:H182" si="89">G183</f>
        <v>440.5</v>
      </c>
      <c r="H182" s="108">
        <f t="shared" si="89"/>
        <v>2.0977083333333333</v>
      </c>
    </row>
    <row r="183" spans="2:8">
      <c r="B183" s="62" t="s">
        <v>19</v>
      </c>
      <c r="C183" s="50" t="s">
        <v>91</v>
      </c>
      <c r="D183" s="50" t="s">
        <v>283</v>
      </c>
      <c r="E183" s="50"/>
      <c r="F183" s="110">
        <f>F184+F185+F186</f>
        <v>720</v>
      </c>
      <c r="G183" s="110">
        <f t="shared" ref="G183:H183" si="90">G184+G185+G186</f>
        <v>440.5</v>
      </c>
      <c r="H183" s="110">
        <f t="shared" si="90"/>
        <v>2.0977083333333333</v>
      </c>
    </row>
    <row r="184" spans="2:8">
      <c r="B184" s="62" t="s">
        <v>709</v>
      </c>
      <c r="C184" s="50" t="s">
        <v>91</v>
      </c>
      <c r="D184" s="50" t="s">
        <v>284</v>
      </c>
      <c r="E184" s="50" t="s">
        <v>20</v>
      </c>
      <c r="F184" s="110">
        <f>Ведомственная!G177</f>
        <v>200</v>
      </c>
      <c r="G184" s="110">
        <f>Ведомственная!H177</f>
        <v>194</v>
      </c>
      <c r="H184" s="110">
        <f>Ведомственная!I177</f>
        <v>0.97</v>
      </c>
    </row>
    <row r="185" spans="2:8">
      <c r="B185" s="62" t="s">
        <v>710</v>
      </c>
      <c r="C185" s="50" t="s">
        <v>91</v>
      </c>
      <c r="D185" s="50" t="s">
        <v>285</v>
      </c>
      <c r="E185" s="50" t="s">
        <v>20</v>
      </c>
      <c r="F185" s="110">
        <f>Ведомственная!G178</f>
        <v>480</v>
      </c>
      <c r="G185" s="110">
        <f>Ведомственная!H178</f>
        <v>219.7</v>
      </c>
      <c r="H185" s="110">
        <f>Ведомственная!I178</f>
        <v>0.45770833333333333</v>
      </c>
    </row>
    <row r="186" spans="2:8">
      <c r="B186" s="62" t="s">
        <v>711</v>
      </c>
      <c r="C186" s="50" t="s">
        <v>91</v>
      </c>
      <c r="D186" s="50" t="s">
        <v>649</v>
      </c>
      <c r="E186" s="50" t="s">
        <v>20</v>
      </c>
      <c r="F186" s="110">
        <f>Ведомственная!G179</f>
        <v>40</v>
      </c>
      <c r="G186" s="110">
        <f>Ведомственная!H179</f>
        <v>26.8</v>
      </c>
      <c r="H186" s="110">
        <f>Ведомственная!I179</f>
        <v>0.67</v>
      </c>
    </row>
    <row r="187" spans="2:8" ht="51">
      <c r="B187" s="14" t="s">
        <v>904</v>
      </c>
      <c r="C187" s="11" t="s">
        <v>91</v>
      </c>
      <c r="D187" s="11" t="s">
        <v>668</v>
      </c>
      <c r="E187" s="11"/>
      <c r="F187" s="108">
        <f>F188</f>
        <v>0</v>
      </c>
      <c r="G187" s="108">
        <f t="shared" ref="G187:H188" si="91">G188</f>
        <v>0</v>
      </c>
      <c r="H187" s="108" t="e">
        <f t="shared" si="91"/>
        <v>#DIV/0!</v>
      </c>
    </row>
    <row r="188" spans="2:8">
      <c r="B188" s="62" t="s">
        <v>19</v>
      </c>
      <c r="C188" s="50" t="s">
        <v>91</v>
      </c>
      <c r="D188" s="50" t="s">
        <v>668</v>
      </c>
      <c r="E188" s="50" t="s">
        <v>725</v>
      </c>
      <c r="F188" s="110">
        <f>F189</f>
        <v>0</v>
      </c>
      <c r="G188" s="110">
        <f t="shared" si="91"/>
        <v>0</v>
      </c>
      <c r="H188" s="110" t="e">
        <f t="shared" si="91"/>
        <v>#DIV/0!</v>
      </c>
    </row>
    <row r="189" spans="2:8" ht="25.5">
      <c r="B189" s="62" t="s">
        <v>720</v>
      </c>
      <c r="C189" s="50" t="s">
        <v>91</v>
      </c>
      <c r="D189" s="50" t="s">
        <v>721</v>
      </c>
      <c r="E189" s="50" t="s">
        <v>725</v>
      </c>
      <c r="F189" s="110">
        <f>Ведомственная!G182</f>
        <v>0</v>
      </c>
      <c r="G189" s="110">
        <f>Ведомственная!H182</f>
        <v>0</v>
      </c>
      <c r="H189" s="110" t="e">
        <f>Ведомственная!I182</f>
        <v>#DIV/0!</v>
      </c>
    </row>
    <row r="190" spans="2:8" ht="25.5" hidden="1">
      <c r="B190" s="62" t="s">
        <v>574</v>
      </c>
      <c r="C190" s="50" t="s">
        <v>91</v>
      </c>
      <c r="D190" s="50" t="s">
        <v>575</v>
      </c>
      <c r="E190" s="50"/>
      <c r="F190" s="110">
        <f>F191</f>
        <v>0</v>
      </c>
      <c r="G190" s="110">
        <f t="shared" ref="G190:H190" si="92">G191</f>
        <v>0</v>
      </c>
      <c r="H190" s="110" t="e">
        <f t="shared" si="92"/>
        <v>#DIV/0!</v>
      </c>
    </row>
    <row r="191" spans="2:8" hidden="1">
      <c r="B191" s="62" t="s">
        <v>19</v>
      </c>
      <c r="C191" s="50" t="s">
        <v>91</v>
      </c>
      <c r="D191" s="50" t="s">
        <v>575</v>
      </c>
      <c r="E191" s="50" t="s">
        <v>20</v>
      </c>
      <c r="F191" s="110">
        <f>Ведомственная!G184</f>
        <v>0</v>
      </c>
      <c r="G191" s="110">
        <f>Ведомственная!H184</f>
        <v>0</v>
      </c>
      <c r="H191" s="110" t="e">
        <f>Ведомственная!I184</f>
        <v>#DIV/0!</v>
      </c>
    </row>
    <row r="192" spans="2:8" hidden="1">
      <c r="B192" s="62" t="s">
        <v>612</v>
      </c>
      <c r="C192" s="50" t="s">
        <v>91</v>
      </c>
      <c r="D192" s="50" t="s">
        <v>611</v>
      </c>
      <c r="E192" s="50"/>
      <c r="F192" s="110">
        <f>F193</f>
        <v>0</v>
      </c>
      <c r="G192" s="110">
        <f t="shared" ref="G192:H192" si="93">G193</f>
        <v>0</v>
      </c>
      <c r="H192" s="110" t="e">
        <f t="shared" si="93"/>
        <v>#DIV/0!</v>
      </c>
    </row>
    <row r="193" spans="2:14" hidden="1">
      <c r="B193" s="62" t="s">
        <v>19</v>
      </c>
      <c r="C193" s="50" t="s">
        <v>91</v>
      </c>
      <c r="D193" s="50" t="s">
        <v>611</v>
      </c>
      <c r="E193" s="50" t="s">
        <v>20</v>
      </c>
      <c r="F193" s="110">
        <f>Ведомственная!G186</f>
        <v>0</v>
      </c>
      <c r="G193" s="110">
        <f>Ведомственная!H186</f>
        <v>0</v>
      </c>
      <c r="H193" s="110" t="e">
        <f>Ведомственная!I186</f>
        <v>#DIV/0!</v>
      </c>
    </row>
    <row r="194" spans="2:14">
      <c r="B194" s="74" t="s">
        <v>94</v>
      </c>
      <c r="C194" s="11" t="s">
        <v>74</v>
      </c>
      <c r="D194" s="11"/>
      <c r="E194" s="11"/>
      <c r="F194" s="108">
        <f>F195+F255</f>
        <v>105783.30000000002</v>
      </c>
      <c r="G194" s="108">
        <f t="shared" ref="G194:H194" si="94">G195+G255</f>
        <v>103847.70000000001</v>
      </c>
      <c r="H194" s="108" t="e">
        <f t="shared" si="94"/>
        <v>#DIV/0!</v>
      </c>
      <c r="I194" s="32">
        <f>Ведомственная!G187</f>
        <v>105783.30000000002</v>
      </c>
      <c r="J194" s="32">
        <f>Ведомственная!H187</f>
        <v>104165.7</v>
      </c>
      <c r="K194" s="32">
        <f>Ведомственная!I187</f>
        <v>0.98470836133869888</v>
      </c>
      <c r="L194" s="32">
        <f>I194-F194</f>
        <v>0</v>
      </c>
      <c r="M194" s="32">
        <f t="shared" ref="M194" si="95">J194-G194</f>
        <v>317.99999999998545</v>
      </c>
      <c r="N194" s="32" t="e">
        <f t="shared" ref="N194" si="96">K194-H194</f>
        <v>#DIV/0!</v>
      </c>
    </row>
    <row r="195" spans="2:14">
      <c r="B195" s="74" t="s">
        <v>93</v>
      </c>
      <c r="C195" s="11" t="s">
        <v>39</v>
      </c>
      <c r="D195" s="11"/>
      <c r="E195" s="11"/>
      <c r="F195" s="108">
        <f>F196+F212+F239+F221+F234</f>
        <v>97986.500000000015</v>
      </c>
      <c r="G195" s="108">
        <f t="shared" ref="G195:H195" si="97">G196+G212+G239+G221+G234</f>
        <v>96050.900000000009</v>
      </c>
      <c r="H195" s="108" t="e">
        <f t="shared" si="97"/>
        <v>#DIV/0!</v>
      </c>
    </row>
    <row r="196" spans="2:14" ht="38.25">
      <c r="B196" s="74" t="s">
        <v>897</v>
      </c>
      <c r="C196" s="50" t="s">
        <v>39</v>
      </c>
      <c r="D196" s="11" t="s">
        <v>446</v>
      </c>
      <c r="E196" s="11"/>
      <c r="F196" s="108">
        <f>F197+F198</f>
        <v>68742.8</v>
      </c>
      <c r="G196" s="108">
        <f t="shared" ref="G196:H196" si="98">G197+G198</f>
        <v>68138.8</v>
      </c>
      <c r="H196" s="108" t="e">
        <f t="shared" si="98"/>
        <v>#DIV/0!</v>
      </c>
    </row>
    <row r="197" spans="2:14">
      <c r="B197" s="62" t="s">
        <v>19</v>
      </c>
      <c r="C197" s="50" t="s">
        <v>39</v>
      </c>
      <c r="D197" s="50" t="s">
        <v>446</v>
      </c>
      <c r="E197" s="50" t="s">
        <v>20</v>
      </c>
      <c r="F197" s="110">
        <f>F199+F200+F205+F206+F207+208:208+F209+F210+F211</f>
        <v>2933</v>
      </c>
      <c r="G197" s="110">
        <f t="shared" ref="G197:H197" si="99">G199+G200+G205+G206+G207+208:208+G209</f>
        <v>2330</v>
      </c>
      <c r="H197" s="110" t="e">
        <f t="shared" si="99"/>
        <v>#DIV/0!</v>
      </c>
    </row>
    <row r="198" spans="2:14" ht="25.5">
      <c r="B198" s="62" t="s">
        <v>542</v>
      </c>
      <c r="C198" s="50" t="s">
        <v>39</v>
      </c>
      <c r="D198" s="50" t="s">
        <v>446</v>
      </c>
      <c r="E198" s="50" t="s">
        <v>265</v>
      </c>
      <c r="F198" s="110">
        <f>Ведомственная!G191</f>
        <v>65809.8</v>
      </c>
      <c r="G198" s="110">
        <f>Ведомственная!H191</f>
        <v>65808.800000000003</v>
      </c>
      <c r="H198" s="110">
        <f>Ведомственная!I191</f>
        <v>0.99998480469474149</v>
      </c>
    </row>
    <row r="199" spans="2:14" ht="38.25">
      <c r="B199" s="62" t="s">
        <v>726</v>
      </c>
      <c r="C199" s="50" t="s">
        <v>39</v>
      </c>
      <c r="D199" s="50" t="s">
        <v>447</v>
      </c>
      <c r="E199" s="50" t="s">
        <v>20</v>
      </c>
      <c r="F199" s="110">
        <f>Ведомственная!G192</f>
        <v>1</v>
      </c>
      <c r="G199" s="110">
        <f>Ведомственная!H192</f>
        <v>0</v>
      </c>
      <c r="H199" s="110">
        <f>Ведомственная!I192</f>
        <v>0</v>
      </c>
    </row>
    <row r="200" spans="2:14" ht="25.5">
      <c r="B200" s="62" t="s">
        <v>727</v>
      </c>
      <c r="C200" s="50" t="s">
        <v>39</v>
      </c>
      <c r="D200" s="50" t="s">
        <v>448</v>
      </c>
      <c r="E200" s="50" t="s">
        <v>20</v>
      </c>
      <c r="F200" s="110">
        <f>Ведомственная!G193</f>
        <v>1</v>
      </c>
      <c r="G200" s="110">
        <f>Ведомственная!H193</f>
        <v>0</v>
      </c>
      <c r="H200" s="110">
        <f>Ведомственная!I193</f>
        <v>0</v>
      </c>
    </row>
    <row r="201" spans="2:14" ht="38.25" hidden="1">
      <c r="B201" s="62" t="s">
        <v>620</v>
      </c>
      <c r="C201" s="50" t="s">
        <v>39</v>
      </c>
      <c r="D201" s="50" t="s">
        <v>565</v>
      </c>
      <c r="E201" s="50"/>
      <c r="F201" s="110">
        <f>Ведомственная!G194</f>
        <v>0</v>
      </c>
      <c r="G201" s="110">
        <f>Ведомственная!H194</f>
        <v>0</v>
      </c>
      <c r="H201" s="110" t="e">
        <f>Ведомственная!I194</f>
        <v>#DIV/0!</v>
      </c>
    </row>
    <row r="202" spans="2:14" ht="25.5">
      <c r="B202" s="15" t="s">
        <v>923</v>
      </c>
      <c r="C202" s="50" t="s">
        <v>39</v>
      </c>
      <c r="D202" s="50" t="s">
        <v>621</v>
      </c>
      <c r="E202" s="50" t="s">
        <v>265</v>
      </c>
      <c r="F202" s="110">
        <f>Ведомственная!G195</f>
        <v>1</v>
      </c>
      <c r="G202" s="110">
        <f>Ведомственная!H195</f>
        <v>0</v>
      </c>
      <c r="H202" s="110">
        <f>Ведомственная!I195</f>
        <v>0</v>
      </c>
    </row>
    <row r="203" spans="2:14" ht="25.5">
      <c r="B203" s="15" t="s">
        <v>935</v>
      </c>
      <c r="C203" s="50" t="s">
        <v>39</v>
      </c>
      <c r="D203" s="50" t="s">
        <v>936</v>
      </c>
      <c r="E203" s="50" t="s">
        <v>265</v>
      </c>
      <c r="F203" s="110">
        <f>Ведомственная!G196</f>
        <v>65545.600000000006</v>
      </c>
      <c r="G203" s="110">
        <f>Ведомственная!H196</f>
        <v>65545.600000000006</v>
      </c>
      <c r="H203" s="110">
        <f>Ведомственная!I196</f>
        <v>1</v>
      </c>
    </row>
    <row r="204" spans="2:14" ht="25.5">
      <c r="B204" s="15" t="s">
        <v>934</v>
      </c>
      <c r="C204" s="50" t="s">
        <v>39</v>
      </c>
      <c r="D204" s="50" t="s">
        <v>936</v>
      </c>
      <c r="E204" s="50" t="s">
        <v>265</v>
      </c>
      <c r="F204" s="110">
        <f>Ведомственная!G197</f>
        <v>263.2</v>
      </c>
      <c r="G204" s="110">
        <f>Ведомственная!H197</f>
        <v>263.2</v>
      </c>
      <c r="H204" s="110">
        <f>Ведомственная!I197</f>
        <v>1</v>
      </c>
    </row>
    <row r="205" spans="2:14" ht="25.5">
      <c r="B205" s="62" t="s">
        <v>728</v>
      </c>
      <c r="C205" s="50" t="s">
        <v>39</v>
      </c>
      <c r="D205" s="50" t="s">
        <v>650</v>
      </c>
      <c r="E205" s="50" t="s">
        <v>20</v>
      </c>
      <c r="F205" s="110">
        <f>Ведомственная!G198</f>
        <v>0</v>
      </c>
      <c r="G205" s="110">
        <f>Ведомственная!H198</f>
        <v>0</v>
      </c>
      <c r="H205" s="110" t="e">
        <f>Ведомственная!I198</f>
        <v>#DIV/0!</v>
      </c>
    </row>
    <row r="206" spans="2:14" ht="25.5">
      <c r="B206" s="62" t="s">
        <v>729</v>
      </c>
      <c r="C206" s="50" t="s">
        <v>39</v>
      </c>
      <c r="D206" s="50" t="s">
        <v>651</v>
      </c>
      <c r="E206" s="50" t="s">
        <v>20</v>
      </c>
      <c r="F206" s="110">
        <f>Ведомственная!G199</f>
        <v>0</v>
      </c>
      <c r="G206" s="110">
        <f>Ведомственная!H199</f>
        <v>0</v>
      </c>
      <c r="H206" s="110" t="e">
        <f>Ведомственная!I199</f>
        <v>#DIV/0!</v>
      </c>
    </row>
    <row r="207" spans="2:14" ht="25.5">
      <c r="B207" s="62" t="s">
        <v>730</v>
      </c>
      <c r="C207" s="50" t="s">
        <v>39</v>
      </c>
      <c r="D207" s="50" t="s">
        <v>652</v>
      </c>
      <c r="E207" s="50" t="s">
        <v>20</v>
      </c>
      <c r="F207" s="110">
        <f>Ведомственная!G200</f>
        <v>0</v>
      </c>
      <c r="G207" s="110">
        <f>Ведомственная!H200</f>
        <v>0</v>
      </c>
      <c r="H207" s="110" t="e">
        <f>Ведомственная!I200</f>
        <v>#DIV/0!</v>
      </c>
    </row>
    <row r="208" spans="2:14" ht="25.5">
      <c r="B208" s="62" t="s">
        <v>876</v>
      </c>
      <c r="C208" s="50" t="s">
        <v>39</v>
      </c>
      <c r="D208" s="50" t="s">
        <v>878</v>
      </c>
      <c r="E208" s="50" t="s">
        <v>20</v>
      </c>
      <c r="F208" s="110">
        <f>Ведомственная!G201</f>
        <v>2097</v>
      </c>
      <c r="G208" s="110">
        <f>Ведомственная!H201</f>
        <v>2097</v>
      </c>
      <c r="H208" s="110">
        <f>Ведомственная!I201</f>
        <v>1</v>
      </c>
    </row>
    <row r="209" spans="2:8" ht="25.5">
      <c r="B209" s="62" t="s">
        <v>877</v>
      </c>
      <c r="C209" s="50" t="s">
        <v>39</v>
      </c>
      <c r="D209" s="50" t="s">
        <v>878</v>
      </c>
      <c r="E209" s="50" t="s">
        <v>20</v>
      </c>
      <c r="F209" s="110">
        <f>Ведомственная!G202</f>
        <v>234</v>
      </c>
      <c r="G209" s="110">
        <f>Ведомственная!H202</f>
        <v>233</v>
      </c>
      <c r="H209" s="110">
        <f>Ведомственная!I202</f>
        <v>0.99572649572649574</v>
      </c>
    </row>
    <row r="210" spans="2:8" ht="51">
      <c r="B210" s="62" t="s">
        <v>898</v>
      </c>
      <c r="C210" s="50" t="s">
        <v>39</v>
      </c>
      <c r="D210" s="50" t="s">
        <v>900</v>
      </c>
      <c r="E210" s="50" t="s">
        <v>20</v>
      </c>
      <c r="F210" s="110">
        <f>Ведомственная!G203</f>
        <v>450</v>
      </c>
      <c r="G210" s="110">
        <f>Ведомственная!H203</f>
        <v>318</v>
      </c>
      <c r="H210" s="110">
        <f>Ведомственная!I203</f>
        <v>0.70666666666666667</v>
      </c>
    </row>
    <row r="211" spans="2:8" ht="38.25">
      <c r="B211" s="62" t="s">
        <v>899</v>
      </c>
      <c r="C211" s="50" t="s">
        <v>39</v>
      </c>
      <c r="D211" s="50" t="s">
        <v>901</v>
      </c>
      <c r="E211" s="50" t="s">
        <v>20</v>
      </c>
      <c r="F211" s="110">
        <f>Ведомственная!G204</f>
        <v>150</v>
      </c>
      <c r="G211" s="110">
        <f>Ведомственная!H204</f>
        <v>0</v>
      </c>
      <c r="H211" s="110">
        <f>Ведомственная!I204</f>
        <v>0</v>
      </c>
    </row>
    <row r="212" spans="2:8" s="6" customFormat="1" ht="27.75" customHeight="1">
      <c r="B212" s="74" t="s">
        <v>416</v>
      </c>
      <c r="C212" s="11" t="s">
        <v>39</v>
      </c>
      <c r="D212" s="11" t="s">
        <v>414</v>
      </c>
      <c r="E212" s="11"/>
      <c r="F212" s="108">
        <f>F213+F217+F219</f>
        <v>399</v>
      </c>
      <c r="G212" s="108">
        <f t="shared" ref="G212:H212" si="100">G213+G217+G219</f>
        <v>399</v>
      </c>
      <c r="H212" s="108" t="e">
        <f t="shared" si="100"/>
        <v>#DIV/0!</v>
      </c>
    </row>
    <row r="213" spans="2:8" ht="51">
      <c r="B213" s="62" t="s">
        <v>498</v>
      </c>
      <c r="C213" s="50" t="s">
        <v>39</v>
      </c>
      <c r="D213" s="50" t="s">
        <v>417</v>
      </c>
      <c r="E213" s="50"/>
      <c r="F213" s="110">
        <f>F214+F215+F216</f>
        <v>0</v>
      </c>
      <c r="G213" s="110">
        <f t="shared" ref="G213:H213" si="101">G214+G215+G216</f>
        <v>0</v>
      </c>
      <c r="H213" s="110" t="e">
        <f t="shared" si="101"/>
        <v>#DIV/0!</v>
      </c>
    </row>
    <row r="214" spans="2:8" ht="25.5">
      <c r="B214" s="62" t="s">
        <v>387</v>
      </c>
      <c r="C214" s="50" t="s">
        <v>39</v>
      </c>
      <c r="D214" s="50" t="s">
        <v>409</v>
      </c>
      <c r="E214" s="50" t="s">
        <v>265</v>
      </c>
      <c r="F214" s="110">
        <f>Ведомственная!G207</f>
        <v>0</v>
      </c>
      <c r="G214" s="110">
        <f>Ведомственная!H207</f>
        <v>0</v>
      </c>
      <c r="H214" s="110" t="e">
        <f>Ведомственная!I207</f>
        <v>#DIV/0!</v>
      </c>
    </row>
    <row r="215" spans="2:8" ht="25.5">
      <c r="B215" s="62" t="s">
        <v>387</v>
      </c>
      <c r="C215" s="50" t="s">
        <v>39</v>
      </c>
      <c r="D215" s="50" t="s">
        <v>639</v>
      </c>
      <c r="E215" s="50" t="s">
        <v>265</v>
      </c>
      <c r="F215" s="110">
        <f>Ведомственная!G208</f>
        <v>0</v>
      </c>
      <c r="G215" s="110">
        <f>Ведомственная!H208</f>
        <v>0</v>
      </c>
      <c r="H215" s="110" t="e">
        <f>Ведомственная!I208</f>
        <v>#DIV/0!</v>
      </c>
    </row>
    <row r="216" spans="2:8" ht="25.5">
      <c r="B216" s="62" t="s">
        <v>388</v>
      </c>
      <c r="C216" s="50" t="s">
        <v>39</v>
      </c>
      <c r="D216" s="50" t="s">
        <v>639</v>
      </c>
      <c r="E216" s="50" t="s">
        <v>265</v>
      </c>
      <c r="F216" s="110">
        <f>Ведомственная!G209</f>
        <v>0</v>
      </c>
      <c r="G216" s="110">
        <f>Ведомственная!H209</f>
        <v>0</v>
      </c>
      <c r="H216" s="110" t="e">
        <f>Ведомственная!I209</f>
        <v>#DIV/0!</v>
      </c>
    </row>
    <row r="217" spans="2:8" ht="25.5">
      <c r="B217" s="62" t="s">
        <v>515</v>
      </c>
      <c r="C217" s="50" t="s">
        <v>39</v>
      </c>
      <c r="D217" s="50" t="s">
        <v>508</v>
      </c>
      <c r="E217" s="50"/>
      <c r="F217" s="110">
        <f>F218</f>
        <v>0</v>
      </c>
      <c r="G217" s="110">
        <f t="shared" ref="G217:H217" si="102">G218</f>
        <v>0</v>
      </c>
      <c r="H217" s="110" t="e">
        <f t="shared" si="102"/>
        <v>#DIV/0!</v>
      </c>
    </row>
    <row r="218" spans="2:8">
      <c r="B218" s="62" t="s">
        <v>19</v>
      </c>
      <c r="C218" s="50" t="s">
        <v>39</v>
      </c>
      <c r="D218" s="50" t="s">
        <v>507</v>
      </c>
      <c r="E218" s="50" t="s">
        <v>20</v>
      </c>
      <c r="F218" s="110">
        <f>Ведомственная!G211</f>
        <v>0</v>
      </c>
      <c r="G218" s="110">
        <f>Ведомственная!H211</f>
        <v>0</v>
      </c>
      <c r="H218" s="110" t="e">
        <f>Ведомственная!I211</f>
        <v>#DIV/0!</v>
      </c>
    </row>
    <row r="219" spans="2:8" ht="38.25">
      <c r="B219" s="62" t="s">
        <v>890</v>
      </c>
      <c r="C219" s="50" t="s">
        <v>39</v>
      </c>
      <c r="D219" s="50" t="s">
        <v>891</v>
      </c>
      <c r="E219" s="50"/>
      <c r="F219" s="110">
        <f>F220</f>
        <v>399</v>
      </c>
      <c r="G219" s="110">
        <f t="shared" ref="G219:H219" si="103">G220</f>
        <v>399</v>
      </c>
      <c r="H219" s="110">
        <f t="shared" si="103"/>
        <v>1</v>
      </c>
    </row>
    <row r="220" spans="2:8">
      <c r="B220" s="15" t="s">
        <v>19</v>
      </c>
      <c r="C220" s="50" t="s">
        <v>39</v>
      </c>
      <c r="D220" s="50" t="s">
        <v>891</v>
      </c>
      <c r="E220" s="50" t="s">
        <v>20</v>
      </c>
      <c r="F220" s="110">
        <f>Ведомственная!G215</f>
        <v>399</v>
      </c>
      <c r="G220" s="110">
        <f>Ведомственная!H215</f>
        <v>399</v>
      </c>
      <c r="H220" s="110">
        <f>Ведомственная!I215</f>
        <v>1</v>
      </c>
    </row>
    <row r="221" spans="2:8" s="6" customFormat="1">
      <c r="B221" s="101" t="s">
        <v>731</v>
      </c>
      <c r="C221" s="11" t="s">
        <v>39</v>
      </c>
      <c r="D221" s="11" t="s">
        <v>526</v>
      </c>
      <c r="E221" s="11"/>
      <c r="F221" s="108">
        <f>F222+F227</f>
        <v>25208.600000000002</v>
      </c>
      <c r="G221" s="108">
        <f t="shared" ref="G221:H221" si="104">G222+G227</f>
        <v>24357</v>
      </c>
      <c r="H221" s="108" t="e">
        <f t="shared" si="104"/>
        <v>#DIV/0!</v>
      </c>
    </row>
    <row r="222" spans="2:8" ht="39" customHeight="1">
      <c r="B222" s="102" t="s">
        <v>732</v>
      </c>
      <c r="C222" s="50" t="s">
        <v>39</v>
      </c>
      <c r="D222" s="50" t="s">
        <v>531</v>
      </c>
      <c r="E222" s="50"/>
      <c r="F222" s="110">
        <f>F223</f>
        <v>25208.600000000002</v>
      </c>
      <c r="G222" s="110">
        <f t="shared" ref="G222:H222" si="105">G223</f>
        <v>24357</v>
      </c>
      <c r="H222" s="110" t="e">
        <f t="shared" si="105"/>
        <v>#DIV/0!</v>
      </c>
    </row>
    <row r="223" spans="2:8" ht="25.5">
      <c r="B223" s="62" t="s">
        <v>542</v>
      </c>
      <c r="C223" s="50" t="s">
        <v>39</v>
      </c>
      <c r="D223" s="50" t="s">
        <v>532</v>
      </c>
      <c r="E223" s="50"/>
      <c r="F223" s="110">
        <f>SUM(F224:F226)</f>
        <v>25208.600000000002</v>
      </c>
      <c r="G223" s="110">
        <f t="shared" ref="G223:H223" si="106">SUM(G224:G226)</f>
        <v>24357</v>
      </c>
      <c r="H223" s="110" t="e">
        <f t="shared" si="106"/>
        <v>#DIV/0!</v>
      </c>
    </row>
    <row r="224" spans="2:8" ht="25.5" hidden="1">
      <c r="B224" s="62" t="s">
        <v>405</v>
      </c>
      <c r="C224" s="50" t="s">
        <v>39</v>
      </c>
      <c r="D224" s="50" t="s">
        <v>532</v>
      </c>
      <c r="E224" s="50" t="s">
        <v>265</v>
      </c>
      <c r="F224" s="110">
        <f>Ведомственная!G219</f>
        <v>0</v>
      </c>
      <c r="G224" s="110">
        <f>Ведомственная!H219</f>
        <v>0</v>
      </c>
      <c r="H224" s="110" t="e">
        <f>Ведомственная!I219</f>
        <v>#DIV/0!</v>
      </c>
    </row>
    <row r="225" spans="2:8" ht="25.5">
      <c r="B225" s="62" t="s">
        <v>388</v>
      </c>
      <c r="C225" s="50" t="s">
        <v>39</v>
      </c>
      <c r="D225" s="50" t="s">
        <v>532</v>
      </c>
      <c r="E225" s="50" t="s">
        <v>265</v>
      </c>
      <c r="F225" s="110">
        <f>Ведомственная!G220</f>
        <v>23806.100000000002</v>
      </c>
      <c r="G225" s="110">
        <f>Ведомственная!H220</f>
        <v>23806.1</v>
      </c>
      <c r="H225" s="110">
        <f>Ведомственная!I220</f>
        <v>0.99999999999999989</v>
      </c>
    </row>
    <row r="226" spans="2:8" ht="25.5">
      <c r="B226" s="62" t="s">
        <v>387</v>
      </c>
      <c r="C226" s="50" t="s">
        <v>39</v>
      </c>
      <c r="D226" s="50" t="s">
        <v>532</v>
      </c>
      <c r="E226" s="50" t="s">
        <v>265</v>
      </c>
      <c r="F226" s="110">
        <f>Ведомственная!G221</f>
        <v>1402.5</v>
      </c>
      <c r="G226" s="110">
        <f>Ведомственная!H221</f>
        <v>550.9</v>
      </c>
      <c r="H226" s="110">
        <f>Ведомственная!I221</f>
        <v>0.39279857397504453</v>
      </c>
    </row>
    <row r="227" spans="2:8" ht="25.5">
      <c r="B227" s="62" t="s">
        <v>753</v>
      </c>
      <c r="C227" s="50" t="s">
        <v>39</v>
      </c>
      <c r="D227" s="50" t="s">
        <v>526</v>
      </c>
      <c r="E227" s="50" t="s">
        <v>265</v>
      </c>
      <c r="F227" s="110">
        <f>Ведомственная!G222</f>
        <v>0</v>
      </c>
      <c r="G227" s="110">
        <f>Ведомственная!H222</f>
        <v>0</v>
      </c>
      <c r="H227" s="110" t="e">
        <f>Ведомственная!I222</f>
        <v>#DIV/0!</v>
      </c>
    </row>
    <row r="228" spans="2:8" ht="25.5">
      <c r="B228" s="62" t="s">
        <v>733</v>
      </c>
      <c r="C228" s="50" t="s">
        <v>39</v>
      </c>
      <c r="D228" s="50" t="s">
        <v>653</v>
      </c>
      <c r="E228" s="50" t="s">
        <v>265</v>
      </c>
      <c r="F228" s="110">
        <f>Ведомственная!G223</f>
        <v>0</v>
      </c>
      <c r="G228" s="110">
        <f>Ведомственная!H223</f>
        <v>0</v>
      </c>
      <c r="H228" s="110" t="e">
        <f>Ведомственная!I223</f>
        <v>#DIV/0!</v>
      </c>
    </row>
    <row r="229" spans="2:8" ht="25.5">
      <c r="B229" s="62" t="s">
        <v>734</v>
      </c>
      <c r="C229" s="50" t="s">
        <v>39</v>
      </c>
      <c r="D229" s="50" t="s">
        <v>654</v>
      </c>
      <c r="E229" s="50" t="s">
        <v>265</v>
      </c>
      <c r="F229" s="110">
        <f>Ведомственная!G224</f>
        <v>0</v>
      </c>
      <c r="G229" s="110">
        <f>Ведомственная!H224</f>
        <v>0</v>
      </c>
      <c r="H229" s="110" t="e">
        <f>Ведомственная!I224</f>
        <v>#DIV/0!</v>
      </c>
    </row>
    <row r="230" spans="2:8" ht="25.5">
      <c r="B230" s="62" t="s">
        <v>735</v>
      </c>
      <c r="C230" s="50" t="s">
        <v>39</v>
      </c>
      <c r="D230" s="50" t="s">
        <v>655</v>
      </c>
      <c r="E230" s="50" t="s">
        <v>265</v>
      </c>
      <c r="F230" s="110">
        <f>Ведомственная!G225</f>
        <v>0</v>
      </c>
      <c r="G230" s="110">
        <f>Ведомственная!H225</f>
        <v>0</v>
      </c>
      <c r="H230" s="110" t="e">
        <f>Ведомственная!I225</f>
        <v>#DIV/0!</v>
      </c>
    </row>
    <row r="231" spans="2:8" ht="25.5" hidden="1">
      <c r="B231" s="62" t="s">
        <v>739</v>
      </c>
      <c r="C231" s="50" t="s">
        <v>39</v>
      </c>
      <c r="D231" s="50" t="s">
        <v>660</v>
      </c>
      <c r="E231" s="50" t="s">
        <v>265</v>
      </c>
      <c r="F231" s="110">
        <f>Ведомственная!G226</f>
        <v>0</v>
      </c>
      <c r="G231" s="110">
        <f>Ведомственная!H226</f>
        <v>0</v>
      </c>
      <c r="H231" s="110" t="e">
        <f>Ведомственная!I226</f>
        <v>#DIV/0!</v>
      </c>
    </row>
    <row r="232" spans="2:8" ht="25.5">
      <c r="B232" s="62" t="s">
        <v>740</v>
      </c>
      <c r="C232" s="50" t="s">
        <v>39</v>
      </c>
      <c r="D232" s="50" t="s">
        <v>661</v>
      </c>
      <c r="E232" s="50" t="s">
        <v>265</v>
      </c>
      <c r="F232" s="110">
        <f>Ведомственная!G227</f>
        <v>0</v>
      </c>
      <c r="G232" s="110">
        <f>Ведомственная!H227</f>
        <v>0</v>
      </c>
      <c r="H232" s="110" t="e">
        <f>Ведомственная!I227</f>
        <v>#DIV/0!</v>
      </c>
    </row>
    <row r="233" spans="2:8" ht="25.5">
      <c r="B233" s="62" t="s">
        <v>741</v>
      </c>
      <c r="C233" s="50" t="s">
        <v>39</v>
      </c>
      <c r="D233" s="50" t="s">
        <v>662</v>
      </c>
      <c r="E233" s="50" t="s">
        <v>265</v>
      </c>
      <c r="F233" s="110">
        <f>Ведомственная!G228</f>
        <v>0</v>
      </c>
      <c r="G233" s="110">
        <f>Ведомственная!H228</f>
        <v>0</v>
      </c>
      <c r="H233" s="110" t="e">
        <f>Ведомственная!I228</f>
        <v>#DIV/0!</v>
      </c>
    </row>
    <row r="234" spans="2:8" s="6" customFormat="1" ht="51">
      <c r="B234" s="14" t="s">
        <v>800</v>
      </c>
      <c r="C234" s="11"/>
      <c r="D234" s="11" t="s">
        <v>668</v>
      </c>
      <c r="E234" s="11"/>
      <c r="F234" s="108">
        <f>F235</f>
        <v>200</v>
      </c>
      <c r="G234" s="108">
        <f t="shared" ref="G234:H234" si="107">G235</f>
        <v>0</v>
      </c>
      <c r="H234" s="108" t="e">
        <f t="shared" si="107"/>
        <v>#DIV/0!</v>
      </c>
    </row>
    <row r="235" spans="2:8">
      <c r="B235" s="62" t="s">
        <v>19</v>
      </c>
      <c r="C235" s="50" t="s">
        <v>39</v>
      </c>
      <c r="D235" s="50" t="s">
        <v>668</v>
      </c>
      <c r="E235" s="50" t="s">
        <v>20</v>
      </c>
      <c r="F235" s="110">
        <f>SUM(F236:F238)</f>
        <v>200</v>
      </c>
      <c r="G235" s="110">
        <f t="shared" ref="G235:H235" si="108">SUM(G236:G238)</f>
        <v>0</v>
      </c>
      <c r="H235" s="110" t="e">
        <f t="shared" si="108"/>
        <v>#DIV/0!</v>
      </c>
    </row>
    <row r="236" spans="2:8">
      <c r="B236" s="62" t="s">
        <v>717</v>
      </c>
      <c r="C236" s="50" t="s">
        <v>39</v>
      </c>
      <c r="D236" s="50" t="s">
        <v>679</v>
      </c>
      <c r="E236" s="50" t="s">
        <v>20</v>
      </c>
      <c r="F236" s="110">
        <f>Ведомственная!G231</f>
        <v>200</v>
      </c>
      <c r="G236" s="110">
        <f>Ведомственная!H231</f>
        <v>0</v>
      </c>
      <c r="H236" s="110">
        <f>Ведомственная!I231</f>
        <v>0</v>
      </c>
    </row>
    <row r="237" spans="2:8">
      <c r="B237" s="62" t="s">
        <v>718</v>
      </c>
      <c r="C237" s="50" t="s">
        <v>39</v>
      </c>
      <c r="D237" s="50" t="s">
        <v>667</v>
      </c>
      <c r="E237" s="50" t="s">
        <v>20</v>
      </c>
      <c r="F237" s="110">
        <f>Ведомственная!G232</f>
        <v>0</v>
      </c>
      <c r="G237" s="110">
        <f>Ведомственная!H232</f>
        <v>0</v>
      </c>
      <c r="H237" s="110" t="e">
        <f>Ведомственная!I232</f>
        <v>#DIV/0!</v>
      </c>
    </row>
    <row r="238" spans="2:8">
      <c r="B238" s="62" t="s">
        <v>719</v>
      </c>
      <c r="C238" s="50" t="s">
        <v>39</v>
      </c>
      <c r="D238" s="50" t="s">
        <v>680</v>
      </c>
      <c r="E238" s="50" t="s">
        <v>20</v>
      </c>
      <c r="F238" s="110">
        <f>Ведомственная!G233</f>
        <v>0</v>
      </c>
      <c r="G238" s="110">
        <f>Ведомственная!H233</f>
        <v>0</v>
      </c>
      <c r="H238" s="110" t="e">
        <f>Ведомственная!I233</f>
        <v>#DIV/0!</v>
      </c>
    </row>
    <row r="239" spans="2:8">
      <c r="B239" s="62" t="s">
        <v>72</v>
      </c>
      <c r="C239" s="50" t="s">
        <v>39</v>
      </c>
      <c r="D239" s="50" t="s">
        <v>139</v>
      </c>
      <c r="E239" s="11"/>
      <c r="F239" s="110">
        <f>F244+F246+F252+F240+F242+F249+F254</f>
        <v>3436.1</v>
      </c>
      <c r="G239" s="110">
        <f t="shared" ref="G239:H239" si="109">G244+G246+G252+G240+G242+G249+G254</f>
        <v>3156.1</v>
      </c>
      <c r="H239" s="110" t="e">
        <f t="shared" si="109"/>
        <v>#DIV/0!</v>
      </c>
    </row>
    <row r="240" spans="2:8" ht="51" hidden="1">
      <c r="B240" s="62" t="s">
        <v>498</v>
      </c>
      <c r="C240" s="50" t="s">
        <v>39</v>
      </c>
      <c r="D240" s="50" t="s">
        <v>503</v>
      </c>
      <c r="E240" s="50"/>
      <c r="F240" s="110">
        <f>F241</f>
        <v>0</v>
      </c>
      <c r="G240" s="110">
        <f t="shared" ref="G240:H240" si="110">G241</f>
        <v>0</v>
      </c>
      <c r="H240" s="110" t="e">
        <f t="shared" si="110"/>
        <v>#DIV/0!</v>
      </c>
    </row>
    <row r="241" spans="2:8" ht="25.5" hidden="1">
      <c r="B241" s="62" t="s">
        <v>519</v>
      </c>
      <c r="C241" s="50" t="s">
        <v>39</v>
      </c>
      <c r="D241" s="50" t="s">
        <v>503</v>
      </c>
      <c r="E241" s="50" t="s">
        <v>265</v>
      </c>
      <c r="F241" s="110">
        <f>Ведомственная!G236</f>
        <v>0</v>
      </c>
      <c r="G241" s="110">
        <f>Ведомственная!H236</f>
        <v>0</v>
      </c>
      <c r="H241" s="110" t="e">
        <f>Ведомственная!I236</f>
        <v>#DIV/0!</v>
      </c>
    </row>
    <row r="242" spans="2:8" hidden="1">
      <c r="B242" s="62" t="s">
        <v>73</v>
      </c>
      <c r="C242" s="50" t="s">
        <v>39</v>
      </c>
      <c r="D242" s="50" t="s">
        <v>211</v>
      </c>
      <c r="E242" s="50"/>
      <c r="F242" s="110">
        <f>F243</f>
        <v>0</v>
      </c>
      <c r="G242" s="110">
        <f t="shared" ref="G242:H242" si="111">G243</f>
        <v>0</v>
      </c>
      <c r="H242" s="110" t="e">
        <f t="shared" si="111"/>
        <v>#DIV/0!</v>
      </c>
    </row>
    <row r="243" spans="2:8" ht="38.25" hidden="1">
      <c r="B243" s="62" t="s">
        <v>516</v>
      </c>
      <c r="C243" s="50" t="s">
        <v>39</v>
      </c>
      <c r="D243" s="50" t="s">
        <v>211</v>
      </c>
      <c r="E243" s="50" t="s">
        <v>265</v>
      </c>
      <c r="F243" s="110">
        <f>Ведомственная!G238</f>
        <v>0</v>
      </c>
      <c r="G243" s="110">
        <f>Ведомственная!H238</f>
        <v>0</v>
      </c>
      <c r="H243" s="110" t="e">
        <f>Ведомственная!I238</f>
        <v>#DIV/0!</v>
      </c>
    </row>
    <row r="244" spans="2:8" ht="38.25">
      <c r="B244" s="62" t="s">
        <v>374</v>
      </c>
      <c r="C244" s="50" t="s">
        <v>39</v>
      </c>
      <c r="D244" s="50" t="s">
        <v>375</v>
      </c>
      <c r="E244" s="50"/>
      <c r="F244" s="110">
        <f>F245</f>
        <v>1100</v>
      </c>
      <c r="G244" s="110">
        <f t="shared" ref="G244:H244" si="112">G245</f>
        <v>995.5</v>
      </c>
      <c r="H244" s="110">
        <f t="shared" si="112"/>
        <v>0.90500000000000003</v>
      </c>
    </row>
    <row r="245" spans="2:8">
      <c r="B245" s="62" t="s">
        <v>19</v>
      </c>
      <c r="C245" s="50" t="s">
        <v>39</v>
      </c>
      <c r="D245" s="50" t="s">
        <v>375</v>
      </c>
      <c r="E245" s="50" t="s">
        <v>20</v>
      </c>
      <c r="F245" s="110">
        <f>Ведомственная!G240</f>
        <v>1100</v>
      </c>
      <c r="G245" s="110">
        <f>Ведомственная!H240</f>
        <v>995.5</v>
      </c>
      <c r="H245" s="110">
        <f>Ведомственная!I240</f>
        <v>0.90500000000000003</v>
      </c>
    </row>
    <row r="246" spans="2:8" ht="51">
      <c r="B246" s="62" t="s">
        <v>371</v>
      </c>
      <c r="C246" s="50" t="s">
        <v>39</v>
      </c>
      <c r="D246" s="50" t="s">
        <v>373</v>
      </c>
      <c r="E246" s="50"/>
      <c r="F246" s="110">
        <f>F247+F248</f>
        <v>1774.9</v>
      </c>
      <c r="G246" s="110">
        <f t="shared" ref="G246:H246" si="113">G247+G248</f>
        <v>1774.9</v>
      </c>
      <c r="H246" s="110" t="e">
        <f t="shared" si="113"/>
        <v>#DIV/0!</v>
      </c>
    </row>
    <row r="247" spans="2:8" ht="25.5">
      <c r="B247" s="62" t="s">
        <v>30</v>
      </c>
      <c r="C247" s="50" t="s">
        <v>39</v>
      </c>
      <c r="D247" s="50" t="s">
        <v>373</v>
      </c>
      <c r="E247" s="50" t="s">
        <v>31</v>
      </c>
      <c r="F247" s="110">
        <f>Ведомственная!G244</f>
        <v>1774.9</v>
      </c>
      <c r="G247" s="110">
        <f>Ведомственная!H244</f>
        <v>1774.9</v>
      </c>
      <c r="H247" s="110">
        <f>Ведомственная!I244</f>
        <v>1</v>
      </c>
    </row>
    <row r="248" spans="2:8" ht="25.5">
      <c r="B248" s="62" t="s">
        <v>30</v>
      </c>
      <c r="C248" s="50" t="s">
        <v>39</v>
      </c>
      <c r="D248" s="50" t="s">
        <v>373</v>
      </c>
      <c r="E248" s="50" t="s">
        <v>22</v>
      </c>
      <c r="F248" s="110">
        <f>Ведомственная!G245</f>
        <v>0</v>
      </c>
      <c r="G248" s="110">
        <f>Ведомственная!H245</f>
        <v>0</v>
      </c>
      <c r="H248" s="110" t="e">
        <f>Ведомственная!I245</f>
        <v>#DIV/0!</v>
      </c>
    </row>
    <row r="249" spans="2:8" ht="25.5">
      <c r="B249" s="62" t="s">
        <v>854</v>
      </c>
      <c r="C249" s="50" t="s">
        <v>39</v>
      </c>
      <c r="D249" s="50" t="s">
        <v>855</v>
      </c>
      <c r="E249" s="50"/>
      <c r="F249" s="204">
        <f>F250</f>
        <v>270</v>
      </c>
      <c r="G249" s="204">
        <f t="shared" ref="G249:H249" si="114">G250</f>
        <v>248.7</v>
      </c>
      <c r="H249" s="204">
        <f t="shared" si="114"/>
        <v>0.9211111111111111</v>
      </c>
    </row>
    <row r="250" spans="2:8">
      <c r="B250" s="62" t="s">
        <v>19</v>
      </c>
      <c r="C250" s="50" t="s">
        <v>39</v>
      </c>
      <c r="D250" s="50" t="s">
        <v>855</v>
      </c>
      <c r="E250" s="50" t="s">
        <v>20</v>
      </c>
      <c r="F250" s="167">
        <f>Ведомственная!G242</f>
        <v>270</v>
      </c>
      <c r="G250" s="167">
        <f>Ведомственная!H242</f>
        <v>248.7</v>
      </c>
      <c r="H250" s="167">
        <f>Ведомственная!I242</f>
        <v>0.9211111111111111</v>
      </c>
    </row>
    <row r="251" spans="2:8" ht="25.5">
      <c r="B251" s="62" t="s">
        <v>30</v>
      </c>
      <c r="C251" s="50" t="s">
        <v>39</v>
      </c>
      <c r="D251" s="50" t="s">
        <v>373</v>
      </c>
      <c r="E251" s="50" t="s">
        <v>31</v>
      </c>
      <c r="F251" s="110">
        <f>Ведомственная!G245</f>
        <v>0</v>
      </c>
      <c r="G251" s="110">
        <f>Ведомственная!H245</f>
        <v>0</v>
      </c>
      <c r="H251" s="110" t="e">
        <f>Ведомственная!I245</f>
        <v>#DIV/0!</v>
      </c>
    </row>
    <row r="252" spans="2:8">
      <c r="B252" s="62" t="s">
        <v>392</v>
      </c>
      <c r="C252" s="50" t="s">
        <v>39</v>
      </c>
      <c r="D252" s="50" t="s">
        <v>393</v>
      </c>
      <c r="E252" s="50"/>
      <c r="F252" s="110">
        <f>F253</f>
        <v>137</v>
      </c>
      <c r="G252" s="110">
        <f t="shared" ref="G252:H252" si="115">G253</f>
        <v>137</v>
      </c>
      <c r="H252" s="110">
        <f t="shared" si="115"/>
        <v>1</v>
      </c>
    </row>
    <row r="253" spans="2:8" ht="25.5">
      <c r="B253" s="62" t="s">
        <v>394</v>
      </c>
      <c r="C253" s="50" t="s">
        <v>39</v>
      </c>
      <c r="D253" s="50" t="s">
        <v>393</v>
      </c>
      <c r="E253" s="50" t="s">
        <v>31</v>
      </c>
      <c r="F253" s="110">
        <f>Ведомственная!G247</f>
        <v>137</v>
      </c>
      <c r="G253" s="110">
        <f>Ведомственная!H247</f>
        <v>137</v>
      </c>
      <c r="H253" s="110">
        <f>Ведомственная!I247</f>
        <v>1</v>
      </c>
    </row>
    <row r="254" spans="2:8" ht="25.5">
      <c r="B254" s="15" t="s">
        <v>909</v>
      </c>
      <c r="C254" s="50" t="s">
        <v>39</v>
      </c>
      <c r="D254" s="50" t="s">
        <v>185</v>
      </c>
      <c r="E254" s="50" t="s">
        <v>31</v>
      </c>
      <c r="F254" s="110">
        <f>Ведомственная!G248</f>
        <v>154.19999999999999</v>
      </c>
      <c r="G254" s="110">
        <f>Ведомственная!H248</f>
        <v>0</v>
      </c>
      <c r="H254" s="110">
        <f>Ведомственная!I248</f>
        <v>0</v>
      </c>
    </row>
    <row r="255" spans="2:8">
      <c r="B255" s="74" t="s">
        <v>382</v>
      </c>
      <c r="C255" s="11" t="s">
        <v>378</v>
      </c>
      <c r="D255" s="11"/>
      <c r="E255" s="11"/>
      <c r="F255" s="108">
        <f>F256+F258</f>
        <v>7796.8</v>
      </c>
      <c r="G255" s="108">
        <f t="shared" ref="G255:H255" si="116">G256+G258</f>
        <v>7796.8</v>
      </c>
      <c r="H255" s="108" t="e">
        <f t="shared" si="116"/>
        <v>#DIV/0!</v>
      </c>
    </row>
    <row r="256" spans="2:8" ht="25.5" hidden="1">
      <c r="B256" s="62" t="s">
        <v>383</v>
      </c>
      <c r="C256" s="50" t="s">
        <v>379</v>
      </c>
      <c r="D256" s="50" t="s">
        <v>380</v>
      </c>
      <c r="E256" s="50"/>
      <c r="F256" s="110">
        <f t="shared" ref="F256:H256" si="117">F257</f>
        <v>0</v>
      </c>
      <c r="G256" s="110">
        <f t="shared" si="117"/>
        <v>0</v>
      </c>
      <c r="H256" s="110" t="e">
        <f t="shared" si="117"/>
        <v>#DIV/0!</v>
      </c>
    </row>
    <row r="257" spans="2:14" hidden="1">
      <c r="B257" s="62" t="s">
        <v>384</v>
      </c>
      <c r="C257" s="50" t="s">
        <v>379</v>
      </c>
      <c r="D257" s="50" t="s">
        <v>380</v>
      </c>
      <c r="E257" s="50" t="s">
        <v>134</v>
      </c>
      <c r="F257" s="110">
        <f>Ведомственная!G251</f>
        <v>0</v>
      </c>
      <c r="G257" s="110">
        <f>Ведомственная!H251</f>
        <v>0</v>
      </c>
      <c r="H257" s="110" t="e">
        <f>Ведомственная!I251</f>
        <v>#DIV/0!</v>
      </c>
    </row>
    <row r="258" spans="2:14">
      <c r="B258" s="62" t="s">
        <v>540</v>
      </c>
      <c r="C258" s="50" t="s">
        <v>378</v>
      </c>
      <c r="D258" s="50" t="s">
        <v>526</v>
      </c>
      <c r="E258" s="50"/>
      <c r="F258" s="110">
        <f>Ведомственная!G252</f>
        <v>7796.8</v>
      </c>
      <c r="G258" s="110">
        <f>Ведомственная!H252</f>
        <v>7796.8</v>
      </c>
      <c r="H258" s="110">
        <f>Ведомственная!I252</f>
        <v>1</v>
      </c>
    </row>
    <row r="259" spans="2:14">
      <c r="B259" s="62" t="s">
        <v>580</v>
      </c>
      <c r="C259" s="50" t="s">
        <v>378</v>
      </c>
      <c r="D259" s="50" t="s">
        <v>872</v>
      </c>
      <c r="E259" s="50"/>
      <c r="F259" s="110">
        <f>Ведомственная!G253</f>
        <v>7796.8</v>
      </c>
      <c r="G259" s="110">
        <f>Ведомственная!H253</f>
        <v>7796.8</v>
      </c>
      <c r="H259" s="110">
        <f>Ведомственная!I253</f>
        <v>1</v>
      </c>
    </row>
    <row r="260" spans="2:14" ht="25.5">
      <c r="B260" s="62" t="s">
        <v>587</v>
      </c>
      <c r="C260" s="50" t="s">
        <v>378</v>
      </c>
      <c r="D260" s="50" t="s">
        <v>873</v>
      </c>
      <c r="E260" s="50" t="s">
        <v>874</v>
      </c>
      <c r="F260" s="110">
        <f>Ведомственная!G254</f>
        <v>6637</v>
      </c>
      <c r="G260" s="110">
        <f>Ведомственная!H254</f>
        <v>6637</v>
      </c>
      <c r="H260" s="110">
        <f>Ведомственная!I254</f>
        <v>1</v>
      </c>
    </row>
    <row r="261" spans="2:14" ht="25.5">
      <c r="B261" s="62" t="s">
        <v>870</v>
      </c>
      <c r="C261" s="50" t="s">
        <v>378</v>
      </c>
      <c r="D261" s="50" t="s">
        <v>873</v>
      </c>
      <c r="E261" s="50" t="s">
        <v>874</v>
      </c>
      <c r="F261" s="110">
        <f>Ведомственная!G255</f>
        <v>1159.8</v>
      </c>
      <c r="G261" s="110">
        <f>Ведомственная!H255</f>
        <v>1159.8</v>
      </c>
      <c r="H261" s="110">
        <f>Ведомственная!I255</f>
        <v>1</v>
      </c>
    </row>
    <row r="262" spans="2:14" ht="25.5" hidden="1">
      <c r="B262" s="62" t="s">
        <v>30</v>
      </c>
      <c r="C262" s="50" t="s">
        <v>39</v>
      </c>
      <c r="D262" s="50" t="s">
        <v>373</v>
      </c>
      <c r="E262" s="50" t="s">
        <v>22</v>
      </c>
      <c r="F262" s="110">
        <v>0</v>
      </c>
      <c r="G262" s="110">
        <f>Ведомственная!H256</f>
        <v>0</v>
      </c>
      <c r="H262" s="110" t="e">
        <f>Ведомственная!I256</f>
        <v>#DIV/0!</v>
      </c>
    </row>
    <row r="263" spans="2:14">
      <c r="B263" s="74" t="s">
        <v>81</v>
      </c>
      <c r="C263" s="11" t="s">
        <v>75</v>
      </c>
      <c r="D263" s="11"/>
      <c r="E263" s="11"/>
      <c r="F263" s="108">
        <f>F264</f>
        <v>11</v>
      </c>
      <c r="G263" s="108">
        <f t="shared" ref="G263:H263" si="118">G264</f>
        <v>9.5</v>
      </c>
      <c r="H263" s="108" t="e">
        <f t="shared" si="118"/>
        <v>#DIV/0!</v>
      </c>
      <c r="I263" s="32">
        <f>Ведомственная!G257</f>
        <v>11</v>
      </c>
      <c r="J263" s="32">
        <f>Ведомственная!H257</f>
        <v>9.5</v>
      </c>
      <c r="K263" s="32">
        <f>Ведомственная!I257</f>
        <v>0.86363636363636365</v>
      </c>
      <c r="L263" s="32">
        <f>I263-F263</f>
        <v>0</v>
      </c>
      <c r="M263" s="32">
        <f t="shared" ref="M263" si="119">J263-G263</f>
        <v>0</v>
      </c>
      <c r="N263" s="32" t="e">
        <f t="shared" ref="N263" si="120">K263-H263</f>
        <v>#DIV/0!</v>
      </c>
    </row>
    <row r="264" spans="2:14">
      <c r="B264" s="74" t="s">
        <v>364</v>
      </c>
      <c r="C264" s="11" t="s">
        <v>363</v>
      </c>
      <c r="D264" s="50"/>
      <c r="E264" s="50"/>
      <c r="F264" s="108">
        <f t="shared" ref="F264:H265" si="121">F265</f>
        <v>11</v>
      </c>
      <c r="G264" s="108">
        <f t="shared" si="121"/>
        <v>9.5</v>
      </c>
      <c r="H264" s="108" t="e">
        <f t="shared" si="121"/>
        <v>#DIV/0!</v>
      </c>
    </row>
    <row r="265" spans="2:14" s="6" customFormat="1" ht="38.25">
      <c r="B265" s="74" t="s">
        <v>441</v>
      </c>
      <c r="C265" s="11" t="s">
        <v>363</v>
      </c>
      <c r="D265" s="11" t="s">
        <v>399</v>
      </c>
      <c r="E265" s="11"/>
      <c r="F265" s="108">
        <f t="shared" si="121"/>
        <v>11</v>
      </c>
      <c r="G265" s="108">
        <f t="shared" si="121"/>
        <v>9.5</v>
      </c>
      <c r="H265" s="108" t="e">
        <f t="shared" si="121"/>
        <v>#DIV/0!</v>
      </c>
    </row>
    <row r="266" spans="2:14">
      <c r="B266" s="62" t="s">
        <v>19</v>
      </c>
      <c r="C266" s="50" t="s">
        <v>363</v>
      </c>
      <c r="D266" s="50" t="s">
        <v>297</v>
      </c>
      <c r="E266" s="11"/>
      <c r="F266" s="110">
        <f>F267+F268+F269</f>
        <v>11</v>
      </c>
      <c r="G266" s="110">
        <f t="shared" ref="G266:H266" si="122">G267+G268+G269</f>
        <v>9.5</v>
      </c>
      <c r="H266" s="110" t="e">
        <f t="shared" si="122"/>
        <v>#DIV/0!</v>
      </c>
    </row>
    <row r="267" spans="2:14">
      <c r="B267" s="62" t="s">
        <v>450</v>
      </c>
      <c r="C267" s="50" t="s">
        <v>363</v>
      </c>
      <c r="D267" s="50" t="s">
        <v>298</v>
      </c>
      <c r="E267" s="50" t="s">
        <v>20</v>
      </c>
      <c r="F267" s="110">
        <f>Ведомственная!G261</f>
        <v>10</v>
      </c>
      <c r="G267" s="110">
        <f>Ведомственная!H261</f>
        <v>9.5</v>
      </c>
      <c r="H267" s="110">
        <f>Ведомственная!I261</f>
        <v>0.95</v>
      </c>
    </row>
    <row r="268" spans="2:14" ht="25.5">
      <c r="B268" s="62" t="s">
        <v>754</v>
      </c>
      <c r="C268" s="50" t="s">
        <v>363</v>
      </c>
      <c r="D268" s="50" t="s">
        <v>452</v>
      </c>
      <c r="E268" s="50" t="s">
        <v>20</v>
      </c>
      <c r="F268" s="110">
        <f>Ведомственная!G262</f>
        <v>1</v>
      </c>
      <c r="G268" s="110">
        <f>Ведомственная!H262</f>
        <v>0</v>
      </c>
      <c r="H268" s="110">
        <f>Ведомственная!I262</f>
        <v>0</v>
      </c>
    </row>
    <row r="269" spans="2:14" ht="25.5">
      <c r="B269" s="62" t="s">
        <v>451</v>
      </c>
      <c r="C269" s="50" t="s">
        <v>363</v>
      </c>
      <c r="D269" s="50" t="s">
        <v>453</v>
      </c>
      <c r="E269" s="50" t="s">
        <v>20</v>
      </c>
      <c r="F269" s="110">
        <f>Ведомственная!G263</f>
        <v>0</v>
      </c>
      <c r="G269" s="110">
        <f>Ведомственная!H263</f>
        <v>0</v>
      </c>
      <c r="H269" s="110" t="e">
        <f>Ведомственная!I263</f>
        <v>#DIV/0!</v>
      </c>
    </row>
    <row r="270" spans="2:14">
      <c r="B270" s="74" t="s">
        <v>27</v>
      </c>
      <c r="C270" s="11" t="s">
        <v>28</v>
      </c>
      <c r="D270" s="50"/>
      <c r="E270" s="50"/>
      <c r="F270" s="108">
        <f>F271+F351+F507+F547+F576+F540+F544</f>
        <v>285065.80000000005</v>
      </c>
      <c r="G270" s="108">
        <f t="shared" ref="G270:H270" si="123">G271+G351+G507+G547+G576+G540+G544</f>
        <v>260963.69999999995</v>
      </c>
      <c r="H270" s="108" t="e">
        <f t="shared" si="123"/>
        <v>#DIV/0!</v>
      </c>
      <c r="I270" s="32">
        <f>Ведомственная!G264+Ведомственная!G381+Ведомственная!G491</f>
        <v>285065.80000000005</v>
      </c>
      <c r="J270" s="32">
        <f>Ведомственная!H264+Ведомственная!H381+Ведомственная!H491</f>
        <v>262244.7</v>
      </c>
      <c r="K270" s="32">
        <f>Ведомственная!I264+Ведомственная!I381+Ведомственная!I491</f>
        <v>2.7614558649070617</v>
      </c>
      <c r="L270" s="32">
        <f>I270-F270</f>
        <v>0</v>
      </c>
      <c r="M270" s="32">
        <f t="shared" ref="M270" si="124">J270-G270</f>
        <v>1281.0000000000582</v>
      </c>
      <c r="N270" s="32" t="e">
        <f t="shared" ref="N270" si="125">K270-H270</f>
        <v>#DIV/0!</v>
      </c>
    </row>
    <row r="271" spans="2:14">
      <c r="B271" s="74" t="s">
        <v>40</v>
      </c>
      <c r="C271" s="11" t="s">
        <v>41</v>
      </c>
      <c r="D271" s="11" t="s">
        <v>12</v>
      </c>
      <c r="E271" s="50" t="s">
        <v>12</v>
      </c>
      <c r="F271" s="108">
        <f>F278+F272+F321+F301+F285</f>
        <v>54959.499999999993</v>
      </c>
      <c r="G271" s="108">
        <f t="shared" ref="G271:H271" si="126">G278+G272+G321+G301+G285</f>
        <v>48790.5</v>
      </c>
      <c r="H271" s="108" t="e">
        <f t="shared" si="126"/>
        <v>#DIV/0!</v>
      </c>
      <c r="I271" s="32">
        <f>Ведомственная!G492+Ведомственная!G265</f>
        <v>54809.5</v>
      </c>
      <c r="J271" s="32">
        <f>Ведомственная!H492+Ведомственная!H265</f>
        <v>49922.6</v>
      </c>
      <c r="K271" s="32" t="e">
        <f>Ведомственная!I492+Ведомственная!I265</f>
        <v>#DIV/0!</v>
      </c>
      <c r="L271" s="32">
        <f>I271-F271</f>
        <v>-149.99999999999272</v>
      </c>
      <c r="M271" s="32">
        <f t="shared" ref="M271" si="127">J271-G271</f>
        <v>1132.0999999999985</v>
      </c>
      <c r="N271" s="32" t="e">
        <f t="shared" ref="N271" si="128">K271-H271</f>
        <v>#DIV/0!</v>
      </c>
    </row>
    <row r="272" spans="2:14" s="6" customFormat="1" ht="38.25">
      <c r="B272" s="74" t="s">
        <v>925</v>
      </c>
      <c r="C272" s="11" t="s">
        <v>41</v>
      </c>
      <c r="D272" s="11" t="s">
        <v>346</v>
      </c>
      <c r="E272" s="11"/>
      <c r="F272" s="108">
        <f>F273+F276</f>
        <v>1256.3</v>
      </c>
      <c r="G272" s="108">
        <f t="shared" ref="G272:H272" si="129">G273+G276</f>
        <v>30</v>
      </c>
      <c r="H272" s="108" t="e">
        <f t="shared" si="129"/>
        <v>#DIV/0!</v>
      </c>
    </row>
    <row r="273" spans="2:8">
      <c r="B273" s="62" t="s">
        <v>362</v>
      </c>
      <c r="C273" s="50" t="s">
        <v>41</v>
      </c>
      <c r="D273" s="50" t="s">
        <v>357</v>
      </c>
      <c r="E273" s="50"/>
      <c r="F273" s="110">
        <f>SUM(F274:F275)</f>
        <v>1226.3</v>
      </c>
      <c r="G273" s="110">
        <f t="shared" ref="G273:H273" si="130">SUM(G274:G275)</f>
        <v>0</v>
      </c>
      <c r="H273" s="110" t="e">
        <f t="shared" si="130"/>
        <v>#DIV/0!</v>
      </c>
    </row>
    <row r="274" spans="2:8">
      <c r="B274" s="62" t="s">
        <v>19</v>
      </c>
      <c r="C274" s="50" t="s">
        <v>41</v>
      </c>
      <c r="D274" s="50" t="s">
        <v>354</v>
      </c>
      <c r="E274" s="50" t="s">
        <v>20</v>
      </c>
      <c r="F274" s="110">
        <f>Ведомственная!G495</f>
        <v>1226.3</v>
      </c>
      <c r="G274" s="110">
        <f>Ведомственная!H495</f>
        <v>0</v>
      </c>
      <c r="H274" s="110">
        <f>Ведомственная!I495</f>
        <v>0</v>
      </c>
    </row>
    <row r="275" spans="2:8" ht="25.5" hidden="1">
      <c r="B275" s="62" t="s">
        <v>564</v>
      </c>
      <c r="C275" s="50" t="s">
        <v>41</v>
      </c>
      <c r="D275" s="50" t="s">
        <v>562</v>
      </c>
      <c r="E275" s="50" t="s">
        <v>20</v>
      </c>
      <c r="F275" s="110">
        <f>Ведомственная!G496</f>
        <v>0</v>
      </c>
      <c r="G275" s="110">
        <f>Ведомственная!H496</f>
        <v>0</v>
      </c>
      <c r="H275" s="110" t="e">
        <f>Ведомственная!I496</f>
        <v>#DIV/0!</v>
      </c>
    </row>
    <row r="276" spans="2:8" ht="25.5">
      <c r="B276" s="62" t="s">
        <v>454</v>
      </c>
      <c r="C276" s="50" t="s">
        <v>41</v>
      </c>
      <c r="D276" s="50" t="s">
        <v>358</v>
      </c>
      <c r="E276" s="50"/>
      <c r="F276" s="110">
        <f>Ведомственная!G497</f>
        <v>30</v>
      </c>
      <c r="G276" s="110">
        <f>Ведомственная!H497</f>
        <v>30</v>
      </c>
      <c r="H276" s="110">
        <f>Ведомственная!I497</f>
        <v>1</v>
      </c>
    </row>
    <row r="277" spans="2:8">
      <c r="B277" s="62" t="s">
        <v>19</v>
      </c>
      <c r="C277" s="50" t="s">
        <v>41</v>
      </c>
      <c r="D277" s="50" t="s">
        <v>353</v>
      </c>
      <c r="E277" s="50" t="s">
        <v>20</v>
      </c>
      <c r="F277" s="110">
        <f>Ведомственная!G498</f>
        <v>30</v>
      </c>
      <c r="G277" s="110">
        <f>Ведомственная!H498</f>
        <v>30</v>
      </c>
      <c r="H277" s="110">
        <f>Ведомственная!I498</f>
        <v>1</v>
      </c>
    </row>
    <row r="278" spans="2:8">
      <c r="B278" s="62" t="s">
        <v>73</v>
      </c>
      <c r="C278" s="50" t="s">
        <v>41</v>
      </c>
      <c r="D278" s="50" t="s">
        <v>139</v>
      </c>
      <c r="E278" s="50"/>
      <c r="F278" s="110">
        <f>F279+F319+F293+F287+F312+F340+F283+F289+F291+F316+F338</f>
        <v>53440.499999999993</v>
      </c>
      <c r="G278" s="110">
        <f>G279+G319+G293+G287+G312+G340+G283+G289+G291+G316+G338</f>
        <v>48498</v>
      </c>
      <c r="H278" s="110" t="e">
        <f>H279+H319+H293+H287+H312+H340+H283+H289+H291+H316+H338</f>
        <v>#DIV/0!</v>
      </c>
    </row>
    <row r="279" spans="2:8">
      <c r="B279" s="62" t="s">
        <v>105</v>
      </c>
      <c r="C279" s="50" t="s">
        <v>41</v>
      </c>
      <c r="D279" s="50" t="s">
        <v>148</v>
      </c>
      <c r="E279" s="50"/>
      <c r="F279" s="110">
        <f>F280+F281+F282</f>
        <v>19527.3</v>
      </c>
      <c r="G279" s="110">
        <f t="shared" ref="G279:H279" si="131">G280+G281+G282</f>
        <v>16766.400000000001</v>
      </c>
      <c r="H279" s="110">
        <f t="shared" si="131"/>
        <v>2.6907331367213967</v>
      </c>
    </row>
    <row r="280" spans="2:8" ht="51">
      <c r="B280" s="62" t="s">
        <v>17</v>
      </c>
      <c r="C280" s="50" t="s">
        <v>41</v>
      </c>
      <c r="D280" s="50" t="s">
        <v>148</v>
      </c>
      <c r="E280" s="50" t="s">
        <v>18</v>
      </c>
      <c r="F280" s="110">
        <f>Ведомственная!G508</f>
        <v>13758.599999999999</v>
      </c>
      <c r="G280" s="110">
        <f>Ведомственная!H508</f>
        <v>12050.2</v>
      </c>
      <c r="H280" s="110">
        <f>Ведомственная!I508</f>
        <v>0.87583038971988447</v>
      </c>
    </row>
    <row r="281" spans="2:8">
      <c r="B281" s="62" t="s">
        <v>19</v>
      </c>
      <c r="C281" s="50" t="s">
        <v>41</v>
      </c>
      <c r="D281" s="50" t="s">
        <v>148</v>
      </c>
      <c r="E281" s="50" t="s">
        <v>20</v>
      </c>
      <c r="F281" s="110">
        <f>Ведомственная!G509</f>
        <v>5686.2000000000007</v>
      </c>
      <c r="G281" s="110">
        <f>Ведомственная!H509</f>
        <v>4633.7</v>
      </c>
      <c r="H281" s="110">
        <f>Ведомственная!I509</f>
        <v>0.81490274700151233</v>
      </c>
    </row>
    <row r="282" spans="2:8" ht="25.5">
      <c r="B282" s="62" t="s">
        <v>566</v>
      </c>
      <c r="C282" s="50" t="s">
        <v>41</v>
      </c>
      <c r="D282" s="50" t="s">
        <v>148</v>
      </c>
      <c r="E282" s="50" t="s">
        <v>26</v>
      </c>
      <c r="F282" s="110">
        <f>Ведомственная!G510</f>
        <v>82.500000000000014</v>
      </c>
      <c r="G282" s="110">
        <f>Ведомственная!H510</f>
        <v>82.5</v>
      </c>
      <c r="H282" s="110">
        <f>Ведомственная!I510</f>
        <v>0.99999999999999978</v>
      </c>
    </row>
    <row r="283" spans="2:8" ht="25.5">
      <c r="B283" s="62" t="s">
        <v>339</v>
      </c>
      <c r="C283" s="50" t="s">
        <v>41</v>
      </c>
      <c r="D283" s="50" t="s">
        <v>174</v>
      </c>
      <c r="E283" s="50"/>
      <c r="F283" s="110">
        <f>F284</f>
        <v>632.70000000000005</v>
      </c>
      <c r="G283" s="110">
        <f t="shared" ref="G283:H283" si="132">G284</f>
        <v>461.6</v>
      </c>
      <c r="H283" s="110">
        <f t="shared" si="132"/>
        <v>0.72957167694009795</v>
      </c>
    </row>
    <row r="284" spans="2:8" ht="25.5">
      <c r="B284" s="62" t="s">
        <v>30</v>
      </c>
      <c r="C284" s="50" t="s">
        <v>41</v>
      </c>
      <c r="D284" s="50" t="s">
        <v>174</v>
      </c>
      <c r="E284" s="50" t="s">
        <v>31</v>
      </c>
      <c r="F284" s="110">
        <f>Ведомственная!G512</f>
        <v>632.70000000000005</v>
      </c>
      <c r="G284" s="110">
        <f>Ведомственная!H512</f>
        <v>461.6</v>
      </c>
      <c r="H284" s="110">
        <f>Ведомственная!I512</f>
        <v>0.72957167694009795</v>
      </c>
    </row>
    <row r="285" spans="2:8" ht="38.25">
      <c r="B285" s="15" t="s">
        <v>938</v>
      </c>
      <c r="C285" s="50" t="s">
        <v>41</v>
      </c>
      <c r="D285" s="50" t="s">
        <v>211</v>
      </c>
      <c r="E285" s="50"/>
      <c r="F285" s="110">
        <f>F286</f>
        <v>150</v>
      </c>
      <c r="G285" s="110">
        <f t="shared" ref="G285:H285" si="133">G286</f>
        <v>149.9</v>
      </c>
      <c r="H285" s="110">
        <f t="shared" si="133"/>
        <v>0.99933333333333341</v>
      </c>
    </row>
    <row r="286" spans="2:8">
      <c r="B286" s="15" t="s">
        <v>19</v>
      </c>
      <c r="C286" s="50" t="s">
        <v>41</v>
      </c>
      <c r="D286" s="50" t="s">
        <v>211</v>
      </c>
      <c r="E286" s="50" t="s">
        <v>20</v>
      </c>
      <c r="F286" s="110">
        <f>Ведомственная!G283</f>
        <v>150</v>
      </c>
      <c r="G286" s="110">
        <f>Ведомственная!H283</f>
        <v>149.9</v>
      </c>
      <c r="H286" s="110">
        <f>Ведомственная!I283</f>
        <v>0.99933333333333341</v>
      </c>
    </row>
    <row r="287" spans="2:8">
      <c r="B287" s="62" t="s">
        <v>213</v>
      </c>
      <c r="C287" s="50" t="s">
        <v>41</v>
      </c>
      <c r="D287" s="50" t="s">
        <v>212</v>
      </c>
      <c r="E287" s="50"/>
      <c r="F287" s="110">
        <f>F288</f>
        <v>5762.7</v>
      </c>
      <c r="G287" s="110">
        <f t="shared" ref="G287:H287" si="134">G288</f>
        <v>4918.3</v>
      </c>
      <c r="H287" s="110">
        <f t="shared" si="134"/>
        <v>0.85347146302948274</v>
      </c>
    </row>
    <row r="288" spans="2:8">
      <c r="B288" s="62" t="s">
        <v>19</v>
      </c>
      <c r="C288" s="50" t="s">
        <v>41</v>
      </c>
      <c r="D288" s="50" t="s">
        <v>212</v>
      </c>
      <c r="E288" s="50" t="s">
        <v>20</v>
      </c>
      <c r="F288" s="110">
        <f>Ведомственная!G514</f>
        <v>5762.7</v>
      </c>
      <c r="G288" s="110">
        <f>Ведомственная!H514</f>
        <v>4918.3</v>
      </c>
      <c r="H288" s="110">
        <f>Ведомственная!I514</f>
        <v>0.85347146302948274</v>
      </c>
    </row>
    <row r="289" spans="2:8">
      <c r="B289" s="62" t="s">
        <v>396</v>
      </c>
      <c r="C289" s="50" t="s">
        <v>41</v>
      </c>
      <c r="D289" s="50" t="s">
        <v>397</v>
      </c>
      <c r="E289" s="50"/>
      <c r="F289" s="110">
        <f>F290</f>
        <v>240.4</v>
      </c>
      <c r="G289" s="110">
        <f t="shared" ref="G289:H289" si="135">G290</f>
        <v>186.6</v>
      </c>
      <c r="H289" s="110">
        <f t="shared" si="135"/>
        <v>0.77620632279534107</v>
      </c>
    </row>
    <row r="290" spans="2:8">
      <c r="B290" s="62" t="s">
        <v>19</v>
      </c>
      <c r="C290" s="50" t="s">
        <v>41</v>
      </c>
      <c r="D290" s="50" t="s">
        <v>397</v>
      </c>
      <c r="E290" s="50" t="s">
        <v>20</v>
      </c>
      <c r="F290" s="110">
        <f>Ведомственная!G516</f>
        <v>240.4</v>
      </c>
      <c r="G290" s="110">
        <f>Ведомственная!H516</f>
        <v>186.6</v>
      </c>
      <c r="H290" s="110">
        <f>Ведомственная!I516</f>
        <v>0.77620632279534107</v>
      </c>
    </row>
    <row r="291" spans="2:8" ht="38.25" hidden="1">
      <c r="B291" s="62" t="s">
        <v>524</v>
      </c>
      <c r="C291" s="50" t="s">
        <v>41</v>
      </c>
      <c r="D291" s="50" t="s">
        <v>520</v>
      </c>
      <c r="E291" s="50"/>
      <c r="F291" s="110">
        <f>F292</f>
        <v>0</v>
      </c>
      <c r="G291" s="110">
        <f t="shared" ref="G291:H291" si="136">G292</f>
        <v>0</v>
      </c>
      <c r="H291" s="110" t="e">
        <f t="shared" si="136"/>
        <v>#DIV/0!</v>
      </c>
    </row>
    <row r="292" spans="2:8" hidden="1">
      <c r="B292" s="62" t="s">
        <v>523</v>
      </c>
      <c r="C292" s="50" t="s">
        <v>41</v>
      </c>
      <c r="D292" s="50" t="s">
        <v>520</v>
      </c>
      <c r="E292" s="50" t="s">
        <v>20</v>
      </c>
      <c r="F292" s="110">
        <f>Ведомственная!G280</f>
        <v>0</v>
      </c>
      <c r="G292" s="110">
        <f>Ведомственная!H280</f>
        <v>0</v>
      </c>
      <c r="H292" s="110" t="e">
        <f>Ведомственная!I280</f>
        <v>#DIV/0!</v>
      </c>
    </row>
    <row r="293" spans="2:8" ht="25.5">
      <c r="B293" s="74" t="s">
        <v>118</v>
      </c>
      <c r="C293" s="50" t="s">
        <v>41</v>
      </c>
      <c r="D293" s="50" t="s">
        <v>173</v>
      </c>
      <c r="E293" s="50"/>
      <c r="F293" s="110">
        <f>F294+F298</f>
        <v>15265.299999999997</v>
      </c>
      <c r="G293" s="110">
        <f t="shared" ref="G293:H293" si="137">G294+G298</f>
        <v>15000.1</v>
      </c>
      <c r="H293" s="110">
        <f t="shared" si="137"/>
        <v>2.9750845065033871</v>
      </c>
    </row>
    <row r="294" spans="2:8" ht="51">
      <c r="B294" s="62" t="s">
        <v>17</v>
      </c>
      <c r="C294" s="50" t="s">
        <v>41</v>
      </c>
      <c r="D294" s="50" t="s">
        <v>173</v>
      </c>
      <c r="E294" s="50" t="s">
        <v>18</v>
      </c>
      <c r="F294" s="110">
        <f>F295+F297+F296</f>
        <v>15027.499999999998</v>
      </c>
      <c r="G294" s="110">
        <f t="shared" ref="G294:H294" si="138">G295+G297</f>
        <v>14762.300000000001</v>
      </c>
      <c r="H294" s="110">
        <f t="shared" si="138"/>
        <v>1.9750845065033871</v>
      </c>
    </row>
    <row r="295" spans="2:8" ht="25.5">
      <c r="B295" s="62" t="s">
        <v>188</v>
      </c>
      <c r="C295" s="50" t="s">
        <v>41</v>
      </c>
      <c r="D295" s="50" t="s">
        <v>200</v>
      </c>
      <c r="E295" s="50" t="s">
        <v>18</v>
      </c>
      <c r="F295" s="110">
        <f>Ведомственная!G519</f>
        <v>11363.8</v>
      </c>
      <c r="G295" s="110">
        <f>Ведомственная!H519</f>
        <v>11188.7</v>
      </c>
      <c r="H295" s="110">
        <f>Ведомственная!I519</f>
        <v>0.984591421883525</v>
      </c>
    </row>
    <row r="296" spans="2:8" ht="25.5">
      <c r="B296" s="15" t="s">
        <v>566</v>
      </c>
      <c r="C296" s="50" t="s">
        <v>41</v>
      </c>
      <c r="D296" s="50" t="s">
        <v>200</v>
      </c>
      <c r="E296" s="50" t="s">
        <v>914</v>
      </c>
      <c r="F296" s="110">
        <f>Ведомственная!G520</f>
        <v>55.8</v>
      </c>
      <c r="G296" s="110">
        <f>Ведомственная!H520</f>
        <v>55.8</v>
      </c>
      <c r="H296" s="110">
        <f>Ведомственная!I520</f>
        <v>1</v>
      </c>
    </row>
    <row r="297" spans="2:8" ht="25.5">
      <c r="B297" s="62" t="s">
        <v>189</v>
      </c>
      <c r="C297" s="50" t="s">
        <v>41</v>
      </c>
      <c r="D297" s="50" t="s">
        <v>201</v>
      </c>
      <c r="E297" s="50" t="s">
        <v>18</v>
      </c>
      <c r="F297" s="110">
        <f>Ведомственная!G521</f>
        <v>3607.8999999999996</v>
      </c>
      <c r="G297" s="110">
        <f>Ведомственная!H521</f>
        <v>3573.6</v>
      </c>
      <c r="H297" s="110">
        <f>Ведомственная!I521</f>
        <v>0.99049308461986207</v>
      </c>
    </row>
    <row r="298" spans="2:8">
      <c r="B298" s="62" t="s">
        <v>19</v>
      </c>
      <c r="C298" s="50" t="s">
        <v>41</v>
      </c>
      <c r="D298" s="50" t="s">
        <v>173</v>
      </c>
      <c r="E298" s="50" t="s">
        <v>20</v>
      </c>
      <c r="F298" s="110">
        <f>F299</f>
        <v>237.80000000000004</v>
      </c>
      <c r="G298" s="110">
        <f t="shared" ref="G298:H298" si="139">G299</f>
        <v>237.8</v>
      </c>
      <c r="H298" s="110">
        <f t="shared" si="139"/>
        <v>0.99999999999999989</v>
      </c>
    </row>
    <row r="299" spans="2:8" ht="25.5">
      <c r="B299" s="62" t="s">
        <v>190</v>
      </c>
      <c r="C299" s="50" t="s">
        <v>41</v>
      </c>
      <c r="D299" s="50" t="s">
        <v>199</v>
      </c>
      <c r="E299" s="50"/>
      <c r="F299" s="110">
        <f>F300</f>
        <v>237.80000000000004</v>
      </c>
      <c r="G299" s="110">
        <f>G300</f>
        <v>237.8</v>
      </c>
      <c r="H299" s="110">
        <f>H300</f>
        <v>0.99999999999999989</v>
      </c>
    </row>
    <row r="300" spans="2:8">
      <c r="B300" s="62" t="s">
        <v>19</v>
      </c>
      <c r="C300" s="50" t="s">
        <v>41</v>
      </c>
      <c r="D300" s="50" t="s">
        <v>199</v>
      </c>
      <c r="E300" s="50" t="s">
        <v>20</v>
      </c>
      <c r="F300" s="110">
        <f>Ведомственная!G523</f>
        <v>237.80000000000004</v>
      </c>
      <c r="G300" s="110">
        <f>Ведомственная!H523</f>
        <v>237.8</v>
      </c>
      <c r="H300" s="110">
        <f>Ведомственная!I523</f>
        <v>0.99999999999999989</v>
      </c>
    </row>
    <row r="301" spans="2:8" ht="38.25">
      <c r="B301" s="14" t="s">
        <v>862</v>
      </c>
      <c r="C301" s="50" t="s">
        <v>41</v>
      </c>
      <c r="D301" s="50" t="s">
        <v>790</v>
      </c>
      <c r="E301" s="50"/>
      <c r="F301" s="110">
        <f>F302+F305+F307</f>
        <v>112.70000000000002</v>
      </c>
      <c r="G301" s="110">
        <f t="shared" ref="G301:H301" si="140">G302+G305+G307</f>
        <v>112.60000000000001</v>
      </c>
      <c r="H301" s="110">
        <f t="shared" si="140"/>
        <v>11.896253602305476</v>
      </c>
    </row>
    <row r="302" spans="2:8" ht="51">
      <c r="B302" s="15" t="s">
        <v>815</v>
      </c>
      <c r="C302" s="50" t="s">
        <v>41</v>
      </c>
      <c r="D302" s="50" t="s">
        <v>791</v>
      </c>
      <c r="E302" s="50"/>
      <c r="F302" s="110">
        <f>SUM(F303:F304)</f>
        <v>64.900000000000006</v>
      </c>
      <c r="G302" s="110">
        <f t="shared" ref="G302:H302" si="141">SUM(G303:G304)</f>
        <v>64.900000000000006</v>
      </c>
      <c r="H302" s="110">
        <f t="shared" si="141"/>
        <v>2</v>
      </c>
    </row>
    <row r="303" spans="2:8" ht="51">
      <c r="B303" s="15" t="s">
        <v>17</v>
      </c>
      <c r="C303" s="50" t="s">
        <v>41</v>
      </c>
      <c r="D303" s="50" t="s">
        <v>792</v>
      </c>
      <c r="E303" s="50" t="s">
        <v>18</v>
      </c>
      <c r="F303" s="110">
        <f>Ведомственная!G526</f>
        <v>54.1</v>
      </c>
      <c r="G303" s="110">
        <f>Ведомственная!H526</f>
        <v>54.1</v>
      </c>
      <c r="H303" s="110">
        <f>Ведомственная!I526</f>
        <v>1</v>
      </c>
    </row>
    <row r="304" spans="2:8" ht="25.5">
      <c r="B304" s="15" t="s">
        <v>30</v>
      </c>
      <c r="C304" s="50" t="s">
        <v>41</v>
      </c>
      <c r="D304" s="50" t="s">
        <v>792</v>
      </c>
      <c r="E304" s="50" t="s">
        <v>31</v>
      </c>
      <c r="F304" s="110">
        <f>Ведомственная!G527</f>
        <v>10.8</v>
      </c>
      <c r="G304" s="110">
        <f>Ведомственная!H527</f>
        <v>10.8</v>
      </c>
      <c r="H304" s="110">
        <f>Ведомственная!I527</f>
        <v>1</v>
      </c>
    </row>
    <row r="305" spans="2:8" ht="25.5">
      <c r="B305" s="15" t="s">
        <v>789</v>
      </c>
      <c r="C305" s="50" t="s">
        <v>41</v>
      </c>
      <c r="D305" s="50" t="s">
        <v>793</v>
      </c>
      <c r="E305" s="50"/>
      <c r="F305" s="110">
        <f>F306</f>
        <v>1</v>
      </c>
      <c r="G305" s="110">
        <f t="shared" ref="G305:H305" si="142">G306</f>
        <v>1</v>
      </c>
      <c r="H305" s="110">
        <f t="shared" si="142"/>
        <v>1</v>
      </c>
    </row>
    <row r="306" spans="2:8">
      <c r="B306" s="15" t="s">
        <v>19</v>
      </c>
      <c r="C306" s="50" t="s">
        <v>41</v>
      </c>
      <c r="D306" s="50" t="s">
        <v>794</v>
      </c>
      <c r="E306" s="50" t="s">
        <v>20</v>
      </c>
      <c r="F306" s="110">
        <f>Ведомственная!G529</f>
        <v>1</v>
      </c>
      <c r="G306" s="110">
        <f>Ведомственная!H529</f>
        <v>1</v>
      </c>
      <c r="H306" s="110">
        <f>Ведомственная!I529</f>
        <v>1</v>
      </c>
    </row>
    <row r="307" spans="2:8" ht="38.25">
      <c r="B307" s="15" t="s">
        <v>795</v>
      </c>
      <c r="C307" s="50" t="s">
        <v>41</v>
      </c>
      <c r="D307" s="50" t="s">
        <v>796</v>
      </c>
      <c r="E307" s="50"/>
      <c r="F307" s="110">
        <f>SUM(F308:F311)</f>
        <v>46.800000000000011</v>
      </c>
      <c r="G307" s="110">
        <f t="shared" ref="G307:H307" si="143">SUM(G308:G311)</f>
        <v>46.7</v>
      </c>
      <c r="H307" s="110">
        <f t="shared" si="143"/>
        <v>8.8962536023054763</v>
      </c>
    </row>
    <row r="308" spans="2:8">
      <c r="B308" s="15" t="s">
        <v>19</v>
      </c>
      <c r="C308" s="50" t="s">
        <v>41</v>
      </c>
      <c r="D308" s="50" t="s">
        <v>797</v>
      </c>
      <c r="E308" s="50" t="s">
        <v>20</v>
      </c>
      <c r="F308" s="110">
        <f>Ведомственная!G531</f>
        <v>34.700000000000003</v>
      </c>
      <c r="G308" s="110">
        <f>Ведомственная!H531</f>
        <v>31.1</v>
      </c>
      <c r="H308" s="110">
        <f>Ведомственная!I531</f>
        <v>0.89625360230547546</v>
      </c>
    </row>
    <row r="309" spans="2:8" ht="25.5">
      <c r="B309" s="15" t="s">
        <v>30</v>
      </c>
      <c r="C309" s="50" t="s">
        <v>41</v>
      </c>
      <c r="D309" s="50" t="s">
        <v>797</v>
      </c>
      <c r="E309" s="50" t="s">
        <v>31</v>
      </c>
      <c r="F309" s="110">
        <f>Ведомственная!G532</f>
        <v>0.7</v>
      </c>
      <c r="G309" s="110">
        <f>Ведомственная!H532</f>
        <v>4.2</v>
      </c>
      <c r="H309" s="110">
        <f>Ведомственная!I532</f>
        <v>6.0000000000000009</v>
      </c>
    </row>
    <row r="310" spans="2:8" ht="25.5">
      <c r="B310" s="15" t="s">
        <v>504</v>
      </c>
      <c r="C310" s="50" t="s">
        <v>41</v>
      </c>
      <c r="D310" s="50" t="s">
        <v>798</v>
      </c>
      <c r="E310" s="50" t="s">
        <v>20</v>
      </c>
      <c r="F310" s="110">
        <f>Ведомственная!G533</f>
        <v>9.7000000000000028</v>
      </c>
      <c r="G310" s="110">
        <f>Ведомственная!H533</f>
        <v>9.6999999999999993</v>
      </c>
      <c r="H310" s="110">
        <f>Ведомственная!I533</f>
        <v>0.99999999999999967</v>
      </c>
    </row>
    <row r="311" spans="2:8" ht="25.5">
      <c r="B311" s="15" t="s">
        <v>554</v>
      </c>
      <c r="C311" s="50" t="s">
        <v>41</v>
      </c>
      <c r="D311" s="50" t="s">
        <v>798</v>
      </c>
      <c r="E311" s="50" t="s">
        <v>31</v>
      </c>
      <c r="F311" s="110">
        <f>Ведомственная!G534</f>
        <v>1.7</v>
      </c>
      <c r="G311" s="110">
        <f>Ведомственная!H534</f>
        <v>1.7</v>
      </c>
      <c r="H311" s="110">
        <f>Ведомственная!I534</f>
        <v>1</v>
      </c>
    </row>
    <row r="312" spans="2:8" ht="25.5">
      <c r="B312" s="62" t="s">
        <v>194</v>
      </c>
      <c r="C312" s="50" t="s">
        <v>41</v>
      </c>
      <c r="D312" s="50" t="s">
        <v>217</v>
      </c>
      <c r="E312" s="50"/>
      <c r="F312" s="110">
        <f>F313+F314+F315</f>
        <v>0</v>
      </c>
      <c r="G312" s="110">
        <f t="shared" ref="G312:H312" si="144">G313+G314+G315</f>
        <v>0</v>
      </c>
      <c r="H312" s="110" t="e">
        <f t="shared" si="144"/>
        <v>#DIV/0!</v>
      </c>
    </row>
    <row r="313" spans="2:8" ht="51">
      <c r="B313" s="62" t="s">
        <v>17</v>
      </c>
      <c r="C313" s="50" t="s">
        <v>41</v>
      </c>
      <c r="D313" s="50" t="s">
        <v>217</v>
      </c>
      <c r="E313" s="50" t="s">
        <v>18</v>
      </c>
      <c r="F313" s="110">
        <f>Ведомственная!G538+Ведомственная!G539</f>
        <v>0</v>
      </c>
      <c r="G313" s="110">
        <f>Ведомственная!H538+Ведомственная!H539</f>
        <v>0</v>
      </c>
      <c r="H313" s="110" t="e">
        <f>Ведомственная!I538+Ведомственная!I539</f>
        <v>#DIV/0!</v>
      </c>
    </row>
    <row r="314" spans="2:8">
      <c r="B314" s="62" t="s">
        <v>19</v>
      </c>
      <c r="C314" s="50" t="s">
        <v>41</v>
      </c>
      <c r="D314" s="50" t="s">
        <v>217</v>
      </c>
      <c r="E314" s="50" t="s">
        <v>20</v>
      </c>
      <c r="F314" s="110">
        <f>Ведомственная!G540+Ведомственная!G541</f>
        <v>0</v>
      </c>
      <c r="G314" s="110">
        <f>Ведомственная!H540+Ведомственная!H541</f>
        <v>0</v>
      </c>
      <c r="H314" s="110" t="e">
        <f>Ведомственная!I540+Ведомственная!I541</f>
        <v>#DIV/0!</v>
      </c>
    </row>
    <row r="315" spans="2:8" ht="25.5">
      <c r="B315" s="62" t="s">
        <v>30</v>
      </c>
      <c r="C315" s="50" t="s">
        <v>41</v>
      </c>
      <c r="D315" s="50" t="s">
        <v>217</v>
      </c>
      <c r="E315" s="50" t="s">
        <v>31</v>
      </c>
      <c r="F315" s="110">
        <f>Ведомственная!G542+Ведомственная!G543</f>
        <v>0</v>
      </c>
      <c r="G315" s="110">
        <f>Ведомственная!H542+Ведомственная!H543</f>
        <v>0</v>
      </c>
      <c r="H315" s="110" t="e">
        <f>Ведомственная!I542+Ведомственная!I543</f>
        <v>#DIV/0!</v>
      </c>
    </row>
    <row r="316" spans="2:8" ht="38.25" hidden="1">
      <c r="B316" s="62" t="s">
        <v>618</v>
      </c>
      <c r="C316" s="50" t="s">
        <v>41</v>
      </c>
      <c r="D316" s="50" t="s">
        <v>617</v>
      </c>
      <c r="E316" s="50"/>
      <c r="F316" s="110">
        <f>F317+F318</f>
        <v>0</v>
      </c>
      <c r="G316" s="110">
        <f t="shared" ref="G316:H316" si="145">G317+G318</f>
        <v>0</v>
      </c>
      <c r="H316" s="110" t="e">
        <f t="shared" si="145"/>
        <v>#DIV/0!</v>
      </c>
    </row>
    <row r="317" spans="2:8" hidden="1">
      <c r="B317" s="62" t="s">
        <v>19</v>
      </c>
      <c r="C317" s="50" t="s">
        <v>41</v>
      </c>
      <c r="D317" s="50" t="s">
        <v>617</v>
      </c>
      <c r="E317" s="50" t="s">
        <v>20</v>
      </c>
      <c r="F317" s="110">
        <f>Ведомственная!G545</f>
        <v>0</v>
      </c>
      <c r="G317" s="110">
        <f>Ведомственная!H545</f>
        <v>0</v>
      </c>
      <c r="H317" s="110" t="e">
        <f>Ведомственная!I545</f>
        <v>#DIV/0!</v>
      </c>
    </row>
    <row r="318" spans="2:8" ht="25.5" hidden="1">
      <c r="B318" s="62" t="s">
        <v>30</v>
      </c>
      <c r="C318" s="50" t="s">
        <v>41</v>
      </c>
      <c r="D318" s="50" t="s">
        <v>617</v>
      </c>
      <c r="E318" s="50" t="s">
        <v>31</v>
      </c>
      <c r="F318" s="110">
        <f>Ведомственная!G546</f>
        <v>0</v>
      </c>
      <c r="G318" s="110">
        <f>Ведомственная!H546</f>
        <v>0</v>
      </c>
      <c r="H318" s="110" t="e">
        <f>Ведомственная!I546</f>
        <v>#DIV/0!</v>
      </c>
    </row>
    <row r="319" spans="2:8">
      <c r="B319" s="62" t="s">
        <v>100</v>
      </c>
      <c r="C319" s="50" t="s">
        <v>41</v>
      </c>
      <c r="D319" s="50" t="s">
        <v>151</v>
      </c>
      <c r="E319" s="50"/>
      <c r="F319" s="110">
        <f>F320</f>
        <v>2282</v>
      </c>
      <c r="G319" s="110">
        <f t="shared" ref="G319:H319" si="146">G320</f>
        <v>2258.9</v>
      </c>
      <c r="H319" s="110">
        <f t="shared" si="146"/>
        <v>0.98987730061349699</v>
      </c>
    </row>
    <row r="320" spans="2:8">
      <c r="B320" s="62" t="s">
        <v>21</v>
      </c>
      <c r="C320" s="50" t="s">
        <v>41</v>
      </c>
      <c r="D320" s="50" t="s">
        <v>151</v>
      </c>
      <c r="E320" s="50" t="s">
        <v>22</v>
      </c>
      <c r="F320" s="110">
        <f>Ведомственная!G548</f>
        <v>2282</v>
      </c>
      <c r="G320" s="110">
        <f>Ведомственная!H548</f>
        <v>2258.9</v>
      </c>
      <c r="H320" s="110">
        <f>Ведомственная!I548</f>
        <v>0.98987730061349699</v>
      </c>
    </row>
    <row r="321" spans="2:8" ht="51" hidden="1">
      <c r="B321" s="102" t="s">
        <v>412</v>
      </c>
      <c r="C321" s="50" t="s">
        <v>41</v>
      </c>
      <c r="D321" s="50" t="s">
        <v>415</v>
      </c>
      <c r="E321" s="50"/>
      <c r="F321" s="110">
        <f>F327+F331+F324+F335+F322</f>
        <v>0</v>
      </c>
      <c r="G321" s="110">
        <f t="shared" ref="G321:H321" si="147">G327+G331+G324+G335+G322</f>
        <v>0</v>
      </c>
      <c r="H321" s="110" t="e">
        <f t="shared" si="147"/>
        <v>#DIV/0!</v>
      </c>
    </row>
    <row r="322" spans="2:8" ht="51" hidden="1">
      <c r="B322" s="62" t="s">
        <v>471</v>
      </c>
      <c r="C322" s="50" t="s">
        <v>41</v>
      </c>
      <c r="D322" s="50" t="s">
        <v>455</v>
      </c>
      <c r="E322" s="50"/>
      <c r="F322" s="110">
        <f>F323</f>
        <v>0</v>
      </c>
      <c r="G322" s="110">
        <f t="shared" ref="G322:H322" si="148">G323</f>
        <v>0</v>
      </c>
      <c r="H322" s="110" t="e">
        <f t="shared" si="148"/>
        <v>#DIV/0!</v>
      </c>
    </row>
    <row r="323" spans="2:8" hidden="1">
      <c r="B323" s="62" t="s">
        <v>19</v>
      </c>
      <c r="C323" s="50" t="s">
        <v>41</v>
      </c>
      <c r="D323" s="50" t="s">
        <v>456</v>
      </c>
      <c r="E323" s="50" t="s">
        <v>20</v>
      </c>
      <c r="F323" s="110">
        <f>Ведомственная!G502</f>
        <v>0</v>
      </c>
      <c r="G323" s="110">
        <f>Ведомственная!H502</f>
        <v>0</v>
      </c>
      <c r="H323" s="110" t="e">
        <f>Ведомственная!I502</f>
        <v>#DIV/0!</v>
      </c>
    </row>
    <row r="324" spans="2:8" ht="51" hidden="1">
      <c r="B324" s="62" t="s">
        <v>604</v>
      </c>
      <c r="C324" s="50" t="s">
        <v>41</v>
      </c>
      <c r="D324" s="50" t="s">
        <v>517</v>
      </c>
      <c r="E324" s="50"/>
      <c r="F324" s="110">
        <f>F325+F326</f>
        <v>0</v>
      </c>
      <c r="G324" s="110">
        <f t="shared" ref="G324:H324" si="149">G325+G326</f>
        <v>0</v>
      </c>
      <c r="H324" s="110" t="e">
        <f t="shared" si="149"/>
        <v>#DIV/0!</v>
      </c>
    </row>
    <row r="325" spans="2:8" ht="25.5" hidden="1">
      <c r="B325" s="62" t="s">
        <v>632</v>
      </c>
      <c r="C325" s="50" t="s">
        <v>41</v>
      </c>
      <c r="D325" s="50" t="s">
        <v>517</v>
      </c>
      <c r="E325" s="50" t="s">
        <v>20</v>
      </c>
      <c r="F325" s="110">
        <f>Ведомственная!G268</f>
        <v>0</v>
      </c>
      <c r="G325" s="110">
        <f>Ведомственная!H268</f>
        <v>0</v>
      </c>
      <c r="H325" s="110" t="e">
        <f>Ведомственная!I268</f>
        <v>#DIV/0!</v>
      </c>
    </row>
    <row r="326" spans="2:8" ht="25.5" hidden="1">
      <c r="B326" s="62" t="s">
        <v>633</v>
      </c>
      <c r="C326" s="50" t="s">
        <v>41</v>
      </c>
      <c r="D326" s="50" t="s">
        <v>517</v>
      </c>
      <c r="E326" s="50" t="s">
        <v>20</v>
      </c>
      <c r="F326" s="110">
        <f>Ведомственная!G269</f>
        <v>0</v>
      </c>
      <c r="G326" s="110">
        <f>Ведомственная!H269</f>
        <v>0</v>
      </c>
      <c r="H326" s="110" t="e">
        <f>Ведомственная!I269</f>
        <v>#DIV/0!</v>
      </c>
    </row>
    <row r="327" spans="2:8" ht="38.25" hidden="1">
      <c r="B327" s="62" t="s">
        <v>413</v>
      </c>
      <c r="C327" s="50" t="s">
        <v>41</v>
      </c>
      <c r="D327" s="50" t="s">
        <v>410</v>
      </c>
      <c r="E327" s="50"/>
      <c r="F327" s="110">
        <f>F328+F330+F329</f>
        <v>0</v>
      </c>
      <c r="G327" s="110">
        <f t="shared" ref="G327:H327" si="150">G328+G330+G329</f>
        <v>0</v>
      </c>
      <c r="H327" s="110" t="e">
        <f t="shared" si="150"/>
        <v>#DIV/0!</v>
      </c>
    </row>
    <row r="328" spans="2:8" ht="25.5" hidden="1">
      <c r="B328" s="62" t="s">
        <v>387</v>
      </c>
      <c r="C328" s="50" t="s">
        <v>41</v>
      </c>
      <c r="D328" s="50" t="s">
        <v>410</v>
      </c>
      <c r="E328" s="50" t="s">
        <v>265</v>
      </c>
      <c r="F328" s="110">
        <f>Ведомственная!G271</f>
        <v>0</v>
      </c>
      <c r="G328" s="110">
        <f>Ведомственная!H271</f>
        <v>0</v>
      </c>
      <c r="H328" s="110" t="e">
        <f>Ведомственная!I271</f>
        <v>#DIV/0!</v>
      </c>
    </row>
    <row r="329" spans="2:8" ht="25.5" hidden="1">
      <c r="B329" s="62" t="s">
        <v>388</v>
      </c>
      <c r="C329" s="50" t="s">
        <v>41</v>
      </c>
      <c r="D329" s="50" t="s">
        <v>410</v>
      </c>
      <c r="E329" s="50" t="s">
        <v>265</v>
      </c>
      <c r="F329" s="110">
        <f>Ведомственная!G272</f>
        <v>0</v>
      </c>
      <c r="G329" s="110">
        <f>Ведомственная!H272</f>
        <v>0</v>
      </c>
      <c r="H329" s="110" t="e">
        <f>Ведомственная!I272</f>
        <v>#DIV/0!</v>
      </c>
    </row>
    <row r="330" spans="2:8" ht="25.5" hidden="1">
      <c r="B330" s="62" t="s">
        <v>405</v>
      </c>
      <c r="C330" s="50" t="s">
        <v>41</v>
      </c>
      <c r="D330" s="50" t="s">
        <v>410</v>
      </c>
      <c r="E330" s="50" t="s">
        <v>265</v>
      </c>
      <c r="F330" s="110">
        <f>Ведомственная!G273</f>
        <v>0</v>
      </c>
      <c r="G330" s="110">
        <f>Ведомственная!H273</f>
        <v>0</v>
      </c>
      <c r="H330" s="110" t="e">
        <f>Ведомственная!I273</f>
        <v>#DIV/0!</v>
      </c>
    </row>
    <row r="331" spans="2:8" ht="38.25" hidden="1">
      <c r="B331" s="62" t="s">
        <v>413</v>
      </c>
      <c r="C331" s="50" t="s">
        <v>41</v>
      </c>
      <c r="D331" s="50" t="s">
        <v>411</v>
      </c>
      <c r="E331" s="50"/>
      <c r="F331" s="110">
        <f>F332+F334+F333</f>
        <v>0</v>
      </c>
      <c r="G331" s="110">
        <f t="shared" ref="G331:H331" si="151">G332+G334+G333</f>
        <v>0</v>
      </c>
      <c r="H331" s="110" t="e">
        <f t="shared" si="151"/>
        <v>#DIV/0!</v>
      </c>
    </row>
    <row r="332" spans="2:8" ht="25.5" hidden="1">
      <c r="B332" s="62" t="s">
        <v>387</v>
      </c>
      <c r="C332" s="50" t="s">
        <v>41</v>
      </c>
      <c r="D332" s="50" t="s">
        <v>411</v>
      </c>
      <c r="E332" s="50" t="s">
        <v>265</v>
      </c>
      <c r="F332" s="110">
        <f>Ведомственная!G275</f>
        <v>0</v>
      </c>
      <c r="G332" s="110">
        <f>Ведомственная!H275</f>
        <v>0</v>
      </c>
      <c r="H332" s="110" t="e">
        <f>Ведомственная!I275</f>
        <v>#DIV/0!</v>
      </c>
    </row>
    <row r="333" spans="2:8" ht="25.5" hidden="1">
      <c r="B333" s="62" t="s">
        <v>387</v>
      </c>
      <c r="C333" s="50" t="s">
        <v>41</v>
      </c>
      <c r="D333" s="50" t="s">
        <v>411</v>
      </c>
      <c r="E333" s="50" t="s">
        <v>20</v>
      </c>
      <c r="F333" s="110">
        <f>Ведомственная!G276</f>
        <v>0</v>
      </c>
      <c r="G333" s="110">
        <f>Ведомственная!H276</f>
        <v>0</v>
      </c>
      <c r="H333" s="110" t="e">
        <f>Ведомственная!I276</f>
        <v>#DIV/0!</v>
      </c>
    </row>
    <row r="334" spans="2:8" ht="25.5" hidden="1">
      <c r="B334" s="62" t="s">
        <v>388</v>
      </c>
      <c r="C334" s="50" t="s">
        <v>41</v>
      </c>
      <c r="D334" s="50" t="s">
        <v>411</v>
      </c>
      <c r="E334" s="50" t="s">
        <v>265</v>
      </c>
      <c r="F334" s="110">
        <f>Ведомственная!G277</f>
        <v>0</v>
      </c>
      <c r="G334" s="110">
        <f>Ведомственная!H277</f>
        <v>0</v>
      </c>
      <c r="H334" s="110" t="e">
        <f>Ведомственная!I277</f>
        <v>#DIV/0!</v>
      </c>
    </row>
    <row r="335" spans="2:8" ht="38.25" hidden="1">
      <c r="B335" s="62" t="s">
        <v>555</v>
      </c>
      <c r="C335" s="50" t="s">
        <v>41</v>
      </c>
      <c r="D335" s="50" t="s">
        <v>547</v>
      </c>
      <c r="E335" s="50"/>
      <c r="F335" s="110">
        <f>F336+F337</f>
        <v>0</v>
      </c>
      <c r="G335" s="110">
        <f t="shared" ref="G335:H335" si="152">G336+G337</f>
        <v>0</v>
      </c>
      <c r="H335" s="110" t="e">
        <f t="shared" si="152"/>
        <v>#DIV/0!</v>
      </c>
    </row>
    <row r="336" spans="2:8" hidden="1">
      <c r="B336" s="62" t="s">
        <v>19</v>
      </c>
      <c r="C336" s="50" t="s">
        <v>41</v>
      </c>
      <c r="D336" s="50" t="s">
        <v>547</v>
      </c>
      <c r="E336" s="50" t="s">
        <v>20</v>
      </c>
      <c r="F336" s="110">
        <f>Ведомственная!G504</f>
        <v>0</v>
      </c>
      <c r="G336" s="110">
        <f>Ведомственная!H504</f>
        <v>0</v>
      </c>
      <c r="H336" s="110" t="e">
        <f>Ведомственная!I504</f>
        <v>#DIV/0!</v>
      </c>
    </row>
    <row r="337" spans="2:14" hidden="1">
      <c r="B337" s="62" t="s">
        <v>19</v>
      </c>
      <c r="C337" s="50" t="s">
        <v>41</v>
      </c>
      <c r="D337" s="50" t="s">
        <v>547</v>
      </c>
      <c r="E337" s="50" t="s">
        <v>20</v>
      </c>
      <c r="F337" s="110">
        <f>Ведомственная!G505</f>
        <v>0</v>
      </c>
      <c r="G337" s="110">
        <f>Ведомственная!H505</f>
        <v>0</v>
      </c>
      <c r="H337" s="110" t="e">
        <f>Ведомственная!I505</f>
        <v>#DIV/0!</v>
      </c>
    </row>
    <row r="338" spans="2:14" ht="38.25">
      <c r="B338" s="62" t="s">
        <v>602</v>
      </c>
      <c r="C338" s="50" t="s">
        <v>41</v>
      </c>
      <c r="D338" s="50" t="s">
        <v>603</v>
      </c>
      <c r="E338" s="50"/>
      <c r="F338" s="110">
        <f>F339</f>
        <v>24.2</v>
      </c>
      <c r="G338" s="110">
        <f t="shared" ref="G338:H338" si="153">G339</f>
        <v>12.6</v>
      </c>
      <c r="H338" s="110">
        <f t="shared" si="153"/>
        <v>0.52066115702479343</v>
      </c>
    </row>
    <row r="339" spans="2:14" ht="25.5">
      <c r="B339" s="62" t="s">
        <v>30</v>
      </c>
      <c r="C339" s="50" t="s">
        <v>41</v>
      </c>
      <c r="D339" s="50" t="s">
        <v>603</v>
      </c>
      <c r="E339" s="50" t="s">
        <v>31</v>
      </c>
      <c r="F339" s="110">
        <f>Ведомственная!G536</f>
        <v>24.2</v>
      </c>
      <c r="G339" s="110">
        <f>Ведомственная!H536</f>
        <v>12.6</v>
      </c>
      <c r="H339" s="110">
        <f>Ведомственная!I536</f>
        <v>0.52066115702479343</v>
      </c>
    </row>
    <row r="340" spans="2:14" ht="25.5">
      <c r="B340" s="62" t="s">
        <v>325</v>
      </c>
      <c r="C340" s="50" t="s">
        <v>41</v>
      </c>
      <c r="D340" s="50" t="s">
        <v>328</v>
      </c>
      <c r="E340" s="50"/>
      <c r="F340" s="110">
        <f>F341+F345+F348</f>
        <v>9705.9</v>
      </c>
      <c r="G340" s="110">
        <f t="shared" ref="G340:H340" si="154">G341+G345+G348</f>
        <v>8893.5</v>
      </c>
      <c r="H340" s="110">
        <f t="shared" si="154"/>
        <v>5.6238946784487229</v>
      </c>
    </row>
    <row r="341" spans="2:14" ht="25.5">
      <c r="B341" s="62" t="s">
        <v>206</v>
      </c>
      <c r="C341" s="50" t="s">
        <v>41</v>
      </c>
      <c r="D341" s="50" t="s">
        <v>326</v>
      </c>
      <c r="E341" s="50"/>
      <c r="F341" s="110">
        <f>F342+F344+F343</f>
        <v>7255.7</v>
      </c>
      <c r="G341" s="110">
        <f t="shared" ref="G341:H341" si="155">G342+G344</f>
        <v>6623.3</v>
      </c>
      <c r="H341" s="110">
        <f t="shared" si="155"/>
        <v>1.8212844530441279</v>
      </c>
    </row>
    <row r="342" spans="2:14" ht="51">
      <c r="B342" s="62" t="s">
        <v>17</v>
      </c>
      <c r="C342" s="50" t="s">
        <v>41</v>
      </c>
      <c r="D342" s="50" t="s">
        <v>326</v>
      </c>
      <c r="E342" s="50" t="s">
        <v>18</v>
      </c>
      <c r="F342" s="110">
        <f>Ведомственная!G551</f>
        <v>5226</v>
      </c>
      <c r="G342" s="110">
        <f>Ведомственная!H551</f>
        <v>4785.1000000000004</v>
      </c>
      <c r="H342" s="110">
        <f>Ведомственная!I551</f>
        <v>0.91563337160352087</v>
      </c>
    </row>
    <row r="343" spans="2:14" ht="25.5">
      <c r="B343" s="15" t="s">
        <v>566</v>
      </c>
      <c r="C343" s="50" t="s">
        <v>41</v>
      </c>
      <c r="D343" s="50" t="s">
        <v>326</v>
      </c>
      <c r="E343" s="50" t="s">
        <v>26</v>
      </c>
      <c r="F343" s="110">
        <f>Ведомственная!G552</f>
        <v>0</v>
      </c>
      <c r="G343" s="110">
        <f>Ведомственная!H552</f>
        <v>0</v>
      </c>
      <c r="H343" s="110" t="e">
        <f>Ведомственная!I552</f>
        <v>#DIV/0!</v>
      </c>
    </row>
    <row r="344" spans="2:14" ht="25.5">
      <c r="B344" s="62" t="s">
        <v>30</v>
      </c>
      <c r="C344" s="50" t="s">
        <v>41</v>
      </c>
      <c r="D344" s="50" t="s">
        <v>326</v>
      </c>
      <c r="E344" s="50" t="s">
        <v>31</v>
      </c>
      <c r="F344" s="110">
        <f>Ведомственная!G553</f>
        <v>2029.7</v>
      </c>
      <c r="G344" s="110">
        <f>Ведомственная!H553</f>
        <v>1838.2</v>
      </c>
      <c r="H344" s="110">
        <f>Ведомственная!I553</f>
        <v>0.90565108144060702</v>
      </c>
    </row>
    <row r="345" spans="2:14" ht="25.5">
      <c r="B345" s="62" t="s">
        <v>330</v>
      </c>
      <c r="C345" s="50" t="s">
        <v>41</v>
      </c>
      <c r="D345" s="50" t="s">
        <v>327</v>
      </c>
      <c r="E345" s="50"/>
      <c r="F345" s="110">
        <f>F346+F347</f>
        <v>2292.3000000000002</v>
      </c>
      <c r="G345" s="110">
        <f t="shared" ref="G345:H345" si="156">G346+G347</f>
        <v>2112.3000000000002</v>
      </c>
      <c r="H345" s="110">
        <f t="shared" si="156"/>
        <v>1.8026102254045953</v>
      </c>
    </row>
    <row r="346" spans="2:14" ht="51">
      <c r="B346" s="62" t="s">
        <v>17</v>
      </c>
      <c r="C346" s="50" t="s">
        <v>41</v>
      </c>
      <c r="D346" s="50" t="s">
        <v>327</v>
      </c>
      <c r="E346" s="50" t="s">
        <v>18</v>
      </c>
      <c r="F346" s="110">
        <f>Ведомственная!G555</f>
        <v>1651.3000000000004</v>
      </c>
      <c r="G346" s="110">
        <f>Ведомственная!H555</f>
        <v>1563.9</v>
      </c>
      <c r="H346" s="110">
        <f>Ведомственная!I555</f>
        <v>0.94707200387573409</v>
      </c>
    </row>
    <row r="347" spans="2:14" ht="25.5">
      <c r="B347" s="62" t="s">
        <v>30</v>
      </c>
      <c r="C347" s="50" t="s">
        <v>41</v>
      </c>
      <c r="D347" s="50" t="s">
        <v>327</v>
      </c>
      <c r="E347" s="50" t="s">
        <v>31</v>
      </c>
      <c r="F347" s="110">
        <f>Ведомственная!G556</f>
        <v>641</v>
      </c>
      <c r="G347" s="110">
        <f>Ведомственная!H556</f>
        <v>548.4</v>
      </c>
      <c r="H347" s="110">
        <f>Ведомственная!I556</f>
        <v>0.85553822152886116</v>
      </c>
    </row>
    <row r="348" spans="2:14" ht="25.5">
      <c r="B348" s="62" t="s">
        <v>331</v>
      </c>
      <c r="C348" s="50" t="s">
        <v>41</v>
      </c>
      <c r="D348" s="50" t="s">
        <v>329</v>
      </c>
      <c r="E348" s="11"/>
      <c r="F348" s="110">
        <f>F349+F350</f>
        <v>157.9</v>
      </c>
      <c r="G348" s="110">
        <f t="shared" ref="G348:H348" si="157">G349+G350</f>
        <v>157.9</v>
      </c>
      <c r="H348" s="110">
        <f t="shared" si="157"/>
        <v>2</v>
      </c>
    </row>
    <row r="349" spans="2:14">
      <c r="B349" s="62" t="s">
        <v>19</v>
      </c>
      <c r="C349" s="50" t="s">
        <v>41</v>
      </c>
      <c r="D349" s="50" t="s">
        <v>329</v>
      </c>
      <c r="E349" s="50" t="s">
        <v>20</v>
      </c>
      <c r="F349" s="110">
        <f>Ведомственная!G558</f>
        <v>113.9</v>
      </c>
      <c r="G349" s="110">
        <f>Ведомственная!H558</f>
        <v>113.9</v>
      </c>
      <c r="H349" s="110">
        <f>Ведомственная!I558</f>
        <v>1</v>
      </c>
    </row>
    <row r="350" spans="2:14" ht="25.5">
      <c r="B350" s="62" t="s">
        <v>30</v>
      </c>
      <c r="C350" s="50" t="s">
        <v>41</v>
      </c>
      <c r="D350" s="50" t="s">
        <v>329</v>
      </c>
      <c r="E350" s="50" t="s">
        <v>31</v>
      </c>
      <c r="F350" s="110">
        <f>Ведомственная!G559</f>
        <v>44</v>
      </c>
      <c r="G350" s="110">
        <f>Ведомственная!H559</f>
        <v>44</v>
      </c>
      <c r="H350" s="110">
        <f>Ведомственная!I559</f>
        <v>1</v>
      </c>
    </row>
    <row r="351" spans="2:14" s="6" customFormat="1">
      <c r="B351" s="74" t="s">
        <v>42</v>
      </c>
      <c r="C351" s="11" t="s">
        <v>43</v>
      </c>
      <c r="D351" s="11"/>
      <c r="E351" s="11" t="s">
        <v>12</v>
      </c>
      <c r="F351" s="108">
        <f>F418+F352+F439+F398+F403+F458+F394+F442</f>
        <v>192408.80000000002</v>
      </c>
      <c r="G351" s="108">
        <f t="shared" ref="G351:H351" si="158">G418+G352+G439+G398+G403+G458+G394+G442</f>
        <v>176708.49999999997</v>
      </c>
      <c r="H351" s="108" t="e">
        <f t="shared" si="158"/>
        <v>#DIV/0!</v>
      </c>
      <c r="I351" s="32">
        <f>Ведомственная!G284+Ведомственная!G560</f>
        <v>192408.80000000002</v>
      </c>
      <c r="J351" s="32">
        <f>Ведомственная!H284+Ведомственная!H560</f>
        <v>176707.5</v>
      </c>
      <c r="K351" s="32">
        <f>Ведомственная!I284+Ведомственная!I560</f>
        <v>1.9071517530813877</v>
      </c>
      <c r="L351" s="32">
        <f>I351-F351</f>
        <v>0</v>
      </c>
      <c r="M351" s="32">
        <f t="shared" ref="M351" si="159">J351-G351</f>
        <v>-0.99999999997089617</v>
      </c>
      <c r="N351" s="32" t="e">
        <f t="shared" ref="N351" si="160">K351-H351</f>
        <v>#DIV/0!</v>
      </c>
    </row>
    <row r="352" spans="2:14" s="6" customFormat="1" ht="38.25">
      <c r="B352" s="74" t="s">
        <v>925</v>
      </c>
      <c r="C352" s="50" t="s">
        <v>43</v>
      </c>
      <c r="D352" s="50" t="s">
        <v>346</v>
      </c>
      <c r="E352" s="50"/>
      <c r="F352" s="110">
        <f>F353+F373+F381+F384+F388</f>
        <v>9999.1999999999989</v>
      </c>
      <c r="G352" s="110">
        <f t="shared" ref="G352:H352" si="161">G353+G373+G381+G384+G388</f>
        <v>9811.7999999999993</v>
      </c>
      <c r="H352" s="110" t="e">
        <f t="shared" si="161"/>
        <v>#DIV/0!</v>
      </c>
    </row>
    <row r="353" spans="2:8" s="6" customFormat="1">
      <c r="B353" s="62" t="s">
        <v>362</v>
      </c>
      <c r="C353" s="50" t="s">
        <v>43</v>
      </c>
      <c r="D353" s="50" t="s">
        <v>357</v>
      </c>
      <c r="E353" s="50"/>
      <c r="F353" s="110">
        <f>F354+F355+F356+F360+F365</f>
        <v>8091.4</v>
      </c>
      <c r="G353" s="110">
        <f t="shared" ref="G353:H353" si="162">G354+G355+G356+G360+G365</f>
        <v>7919</v>
      </c>
      <c r="H353" s="110" t="e">
        <f t="shared" si="162"/>
        <v>#DIV/0!</v>
      </c>
    </row>
    <row r="354" spans="2:8" s="6" customFormat="1">
      <c r="B354" s="62" t="s">
        <v>19</v>
      </c>
      <c r="C354" s="50" t="s">
        <v>43</v>
      </c>
      <c r="D354" s="50" t="s">
        <v>354</v>
      </c>
      <c r="E354" s="50" t="s">
        <v>20</v>
      </c>
      <c r="F354" s="110">
        <f>Ведомственная!G563</f>
        <v>783.79999999999984</v>
      </c>
      <c r="G354" s="110">
        <f>Ведомственная!H563</f>
        <v>611.5</v>
      </c>
      <c r="H354" s="110">
        <f>Ведомственная!I563</f>
        <v>0.78017351365144183</v>
      </c>
    </row>
    <row r="355" spans="2:8" s="6" customFormat="1" ht="30" customHeight="1">
      <c r="B355" s="62" t="s">
        <v>30</v>
      </c>
      <c r="C355" s="50" t="s">
        <v>43</v>
      </c>
      <c r="D355" s="50" t="s">
        <v>355</v>
      </c>
      <c r="E355" s="50" t="s">
        <v>31</v>
      </c>
      <c r="F355" s="110">
        <f>Ведомственная!G565</f>
        <v>0</v>
      </c>
      <c r="G355" s="110">
        <f>Ведомственная!H565</f>
        <v>0</v>
      </c>
      <c r="H355" s="110" t="e">
        <f>Ведомственная!I565</f>
        <v>#DIV/0!</v>
      </c>
    </row>
    <row r="356" spans="2:8" s="6" customFormat="1" ht="40.5" customHeight="1">
      <c r="B356" s="15" t="s">
        <v>865</v>
      </c>
      <c r="C356" s="50" t="s">
        <v>43</v>
      </c>
      <c r="D356" s="50" t="s">
        <v>562</v>
      </c>
      <c r="E356" s="50"/>
      <c r="F356" s="110">
        <f>F357+F358+F359</f>
        <v>991.3</v>
      </c>
      <c r="G356" s="110">
        <f t="shared" ref="G356:H356" si="163">G357+G358+G359</f>
        <v>991.19999999999993</v>
      </c>
      <c r="H356" s="110">
        <f t="shared" si="163"/>
        <v>2.999892634743397</v>
      </c>
    </row>
    <row r="357" spans="2:8" s="6" customFormat="1" ht="25.5">
      <c r="B357" s="15" t="s">
        <v>504</v>
      </c>
      <c r="C357" s="50" t="s">
        <v>43</v>
      </c>
      <c r="D357" s="50" t="s">
        <v>562</v>
      </c>
      <c r="E357" s="50" t="s">
        <v>20</v>
      </c>
      <c r="F357" s="110">
        <f>Ведомственная!G581</f>
        <v>19.899999999999999</v>
      </c>
      <c r="G357" s="110">
        <f>Ведомственная!H581</f>
        <v>19.899999999999999</v>
      </c>
      <c r="H357" s="110">
        <f>Ведомственная!I581</f>
        <v>1</v>
      </c>
    </row>
    <row r="358" spans="2:8" s="6" customFormat="1" ht="25.5">
      <c r="B358" s="15" t="s">
        <v>509</v>
      </c>
      <c r="C358" s="50" t="s">
        <v>43</v>
      </c>
      <c r="D358" s="50" t="s">
        <v>562</v>
      </c>
      <c r="E358" s="50" t="s">
        <v>20</v>
      </c>
      <c r="F358" s="110">
        <f>Ведомственная!G582</f>
        <v>931.4</v>
      </c>
      <c r="G358" s="110">
        <f>Ведомственная!H582</f>
        <v>931.3</v>
      </c>
      <c r="H358" s="110">
        <f>Ведомственная!I582</f>
        <v>0.99989263474339696</v>
      </c>
    </row>
    <row r="359" spans="2:8" s="6" customFormat="1" ht="25.5">
      <c r="B359" s="15" t="s">
        <v>572</v>
      </c>
      <c r="C359" s="50" t="s">
        <v>43</v>
      </c>
      <c r="D359" s="50" t="s">
        <v>562</v>
      </c>
      <c r="E359" s="50" t="s">
        <v>31</v>
      </c>
      <c r="F359" s="110">
        <f>Ведомственная!G583</f>
        <v>40</v>
      </c>
      <c r="G359" s="110">
        <f>Ведомственная!H583</f>
        <v>40</v>
      </c>
      <c r="H359" s="110">
        <f>Ведомственная!I583</f>
        <v>1</v>
      </c>
    </row>
    <row r="360" spans="2:8" s="6" customFormat="1" ht="38.25">
      <c r="B360" s="62" t="s">
        <v>558</v>
      </c>
      <c r="C360" s="50" t="s">
        <v>43</v>
      </c>
      <c r="D360" s="50" t="s">
        <v>548</v>
      </c>
      <c r="E360" s="50"/>
      <c r="F360" s="110">
        <f>SUM(F361:F364)</f>
        <v>5263.2</v>
      </c>
      <c r="G360" s="110">
        <f t="shared" ref="G360:H360" si="164">SUM(G361:G364)</f>
        <v>5263.2</v>
      </c>
      <c r="H360" s="110" t="e">
        <f t="shared" si="164"/>
        <v>#DIV/0!</v>
      </c>
    </row>
    <row r="361" spans="2:8" s="6" customFormat="1" ht="25.5">
      <c r="B361" s="62" t="s">
        <v>30</v>
      </c>
      <c r="C361" s="50" t="s">
        <v>43</v>
      </c>
      <c r="D361" s="50" t="s">
        <v>548</v>
      </c>
      <c r="E361" s="50" t="s">
        <v>31</v>
      </c>
      <c r="F361" s="110">
        <f>Ведомственная!G571</f>
        <v>2500</v>
      </c>
      <c r="G361" s="110">
        <f>Ведомственная!H571</f>
        <v>2500</v>
      </c>
      <c r="H361" s="110">
        <f>Ведомственная!I571</f>
        <v>1</v>
      </c>
    </row>
    <row r="362" spans="2:8" s="6" customFormat="1" ht="25.5">
      <c r="B362" s="62" t="s">
        <v>554</v>
      </c>
      <c r="C362" s="50" t="s">
        <v>43</v>
      </c>
      <c r="D362" s="50" t="s">
        <v>548</v>
      </c>
      <c r="E362" s="50" t="s">
        <v>31</v>
      </c>
      <c r="F362" s="110">
        <f>Ведомственная!G572</f>
        <v>0</v>
      </c>
      <c r="G362" s="110">
        <f>Ведомственная!H572</f>
        <v>0</v>
      </c>
      <c r="H362" s="110" t="e">
        <f>Ведомственная!I572</f>
        <v>#DIV/0!</v>
      </c>
    </row>
    <row r="363" spans="2:8" s="6" customFormat="1">
      <c r="B363" s="62" t="s">
        <v>19</v>
      </c>
      <c r="C363" s="50" t="s">
        <v>43</v>
      </c>
      <c r="D363" s="50" t="s">
        <v>548</v>
      </c>
      <c r="E363" s="50" t="s">
        <v>20</v>
      </c>
      <c r="F363" s="110">
        <f>Ведомственная!G573</f>
        <v>2500</v>
      </c>
      <c r="G363" s="110">
        <f>Ведомственная!H573</f>
        <v>2500</v>
      </c>
      <c r="H363" s="110">
        <f>Ведомственная!I573</f>
        <v>1</v>
      </c>
    </row>
    <row r="364" spans="2:8" s="6" customFormat="1">
      <c r="B364" s="62" t="s">
        <v>19</v>
      </c>
      <c r="C364" s="50" t="s">
        <v>43</v>
      </c>
      <c r="D364" s="50" t="s">
        <v>548</v>
      </c>
      <c r="E364" s="50" t="s">
        <v>20</v>
      </c>
      <c r="F364" s="110">
        <f>Ведомственная!G574</f>
        <v>263.2</v>
      </c>
      <c r="G364" s="110">
        <f>Ведомственная!H574</f>
        <v>263.2</v>
      </c>
      <c r="H364" s="110">
        <f>Ведомственная!I574</f>
        <v>1</v>
      </c>
    </row>
    <row r="365" spans="2:8" s="6" customFormat="1" ht="38.25">
      <c r="B365" s="62" t="s">
        <v>557</v>
      </c>
      <c r="C365" s="50" t="s">
        <v>43</v>
      </c>
      <c r="D365" s="50" t="s">
        <v>549</v>
      </c>
      <c r="E365" s="50"/>
      <c r="F365" s="110">
        <f>SUM(F366:F369)</f>
        <v>1053.0999999999999</v>
      </c>
      <c r="G365" s="110">
        <f t="shared" ref="G365:H365" si="165">SUM(G366:G369)</f>
        <v>1053.0999999999999</v>
      </c>
      <c r="H365" s="110">
        <f t="shared" si="165"/>
        <v>4.0019851270649331</v>
      </c>
    </row>
    <row r="366" spans="2:8" s="6" customFormat="1" ht="25.5">
      <c r="B366" s="62" t="s">
        <v>30</v>
      </c>
      <c r="C366" s="50" t="s">
        <v>43</v>
      </c>
      <c r="D366" s="50" t="s">
        <v>549</v>
      </c>
      <c r="E366" s="50" t="s">
        <v>31</v>
      </c>
      <c r="F366" s="110">
        <f>Ведомственная!G576</f>
        <v>101.6</v>
      </c>
      <c r="G366" s="110">
        <f>Ведомственная!H576</f>
        <v>101.6</v>
      </c>
      <c r="H366" s="110">
        <f>Ведомственная!I576</f>
        <v>1</v>
      </c>
    </row>
    <row r="367" spans="2:8" s="6" customFormat="1" ht="25.5">
      <c r="B367" s="62" t="s">
        <v>30</v>
      </c>
      <c r="C367" s="50" t="s">
        <v>43</v>
      </c>
      <c r="D367" s="50" t="s">
        <v>549</v>
      </c>
      <c r="E367" s="50" t="s">
        <v>31</v>
      </c>
      <c r="F367" s="110">
        <f>Ведомственная!G577</f>
        <v>5.4</v>
      </c>
      <c r="G367" s="110">
        <f>Ведомственная!H577</f>
        <v>5.4</v>
      </c>
      <c r="H367" s="110">
        <f>Ведомственная!I577</f>
        <v>1</v>
      </c>
    </row>
    <row r="368" spans="2:8" s="6" customFormat="1" ht="25.5">
      <c r="B368" s="62" t="s">
        <v>509</v>
      </c>
      <c r="C368" s="50" t="s">
        <v>43</v>
      </c>
      <c r="D368" s="50" t="s">
        <v>549</v>
      </c>
      <c r="E368" s="50" t="s">
        <v>20</v>
      </c>
      <c r="F368" s="110">
        <f>Ведомственная!G578</f>
        <v>898.4</v>
      </c>
      <c r="G368" s="110">
        <f>Ведомственная!H578</f>
        <v>898.3</v>
      </c>
      <c r="H368" s="110">
        <f>Ведомственная!I578</f>
        <v>0.99988869100623323</v>
      </c>
    </row>
    <row r="369" spans="2:8" s="6" customFormat="1" ht="25.5">
      <c r="B369" s="62" t="s">
        <v>504</v>
      </c>
      <c r="C369" s="50" t="s">
        <v>43</v>
      </c>
      <c r="D369" s="50" t="s">
        <v>549</v>
      </c>
      <c r="E369" s="50" t="s">
        <v>20</v>
      </c>
      <c r="F369" s="110">
        <f>Ведомственная!G579</f>
        <v>47.7</v>
      </c>
      <c r="G369" s="110">
        <f>Ведомственная!H579</f>
        <v>47.8</v>
      </c>
      <c r="H369" s="110">
        <f>Ведомственная!I579</f>
        <v>1.0020964360587001</v>
      </c>
    </row>
    <row r="370" spans="2:8" s="6" customFormat="1" ht="38.25" hidden="1">
      <c r="B370" s="62" t="s">
        <v>563</v>
      </c>
      <c r="C370" s="50" t="s">
        <v>43</v>
      </c>
      <c r="D370" s="50" t="s">
        <v>562</v>
      </c>
      <c r="E370" s="50"/>
      <c r="F370" s="110">
        <f>SUM(F371:F372)</f>
        <v>59.9</v>
      </c>
      <c r="G370" s="110">
        <f t="shared" ref="G370:H370" si="166">SUM(G371:G372)</f>
        <v>59.9</v>
      </c>
      <c r="H370" s="110">
        <f t="shared" si="166"/>
        <v>2</v>
      </c>
    </row>
    <row r="371" spans="2:8" s="6" customFormat="1" ht="25.5" hidden="1">
      <c r="B371" s="62" t="s">
        <v>509</v>
      </c>
      <c r="C371" s="50" t="s">
        <v>43</v>
      </c>
      <c r="D371" s="50" t="s">
        <v>562</v>
      </c>
      <c r="E371" s="50" t="s">
        <v>20</v>
      </c>
      <c r="F371" s="110">
        <f>Ведомственная!G581</f>
        <v>19.899999999999999</v>
      </c>
      <c r="G371" s="110">
        <f>Ведомственная!H581</f>
        <v>19.899999999999999</v>
      </c>
      <c r="H371" s="110">
        <f>Ведомственная!I581</f>
        <v>1</v>
      </c>
    </row>
    <row r="372" spans="2:8" s="6" customFormat="1" ht="25.5" hidden="1">
      <c r="B372" s="62" t="s">
        <v>30</v>
      </c>
      <c r="C372" s="50" t="s">
        <v>43</v>
      </c>
      <c r="D372" s="50" t="s">
        <v>562</v>
      </c>
      <c r="E372" s="50" t="s">
        <v>31</v>
      </c>
      <c r="F372" s="110">
        <f>Ведомственная!G583</f>
        <v>40</v>
      </c>
      <c r="G372" s="110">
        <f>Ведомственная!H583</f>
        <v>40</v>
      </c>
      <c r="H372" s="110">
        <f>Ведомственная!I583</f>
        <v>1</v>
      </c>
    </row>
    <row r="373" spans="2:8" s="6" customFormat="1" ht="25.5">
      <c r="B373" s="62" t="s">
        <v>454</v>
      </c>
      <c r="C373" s="50" t="s">
        <v>43</v>
      </c>
      <c r="D373" s="50" t="s">
        <v>358</v>
      </c>
      <c r="E373" s="50"/>
      <c r="F373" s="110">
        <f>F374+F375+F376+F391</f>
        <v>1052.8</v>
      </c>
      <c r="G373" s="110">
        <f t="shared" ref="G373:H373" si="167">G374+G375+G376+G391</f>
        <v>1052.8</v>
      </c>
      <c r="H373" s="110" t="e">
        <f t="shared" si="167"/>
        <v>#DIV/0!</v>
      </c>
    </row>
    <row r="374" spans="2:8" s="6" customFormat="1">
      <c r="B374" s="62" t="s">
        <v>19</v>
      </c>
      <c r="C374" s="50" t="s">
        <v>43</v>
      </c>
      <c r="D374" s="50" t="s">
        <v>353</v>
      </c>
      <c r="E374" s="50" t="s">
        <v>20</v>
      </c>
      <c r="F374" s="110">
        <f>Ведомственная!G585</f>
        <v>0</v>
      </c>
      <c r="G374" s="110">
        <f>Ведомственная!H585</f>
        <v>0</v>
      </c>
      <c r="H374" s="110" t="e">
        <f>Ведомственная!I585</f>
        <v>#DIV/0!</v>
      </c>
    </row>
    <row r="375" spans="2:8" s="6" customFormat="1" ht="25.5">
      <c r="B375" s="62" t="s">
        <v>30</v>
      </c>
      <c r="C375" s="50" t="s">
        <v>43</v>
      </c>
      <c r="D375" s="50" t="s">
        <v>356</v>
      </c>
      <c r="E375" s="50" t="s">
        <v>31</v>
      </c>
      <c r="F375" s="110">
        <f>Ведомственная!G587</f>
        <v>0</v>
      </c>
      <c r="G375" s="110">
        <f>Ведомственная!H587</f>
        <v>0</v>
      </c>
      <c r="H375" s="110" t="e">
        <f>Ведомственная!I587</f>
        <v>#DIV/0!</v>
      </c>
    </row>
    <row r="376" spans="2:8" s="6" customFormat="1" ht="38.25">
      <c r="B376" s="62" t="s">
        <v>556</v>
      </c>
      <c r="C376" s="50" t="s">
        <v>43</v>
      </c>
      <c r="D376" s="50" t="s">
        <v>550</v>
      </c>
      <c r="E376" s="50"/>
      <c r="F376" s="110">
        <f>SUM(F377:F380)</f>
        <v>1052.8</v>
      </c>
      <c r="G376" s="110">
        <f t="shared" ref="G376:H376" si="168">SUM(G377:G380)</f>
        <v>1052.8</v>
      </c>
      <c r="H376" s="110" t="e">
        <f t="shared" si="168"/>
        <v>#DIV/0!</v>
      </c>
    </row>
    <row r="377" spans="2:8" s="6" customFormat="1" ht="25.5" hidden="1">
      <c r="B377" s="62" t="s">
        <v>559</v>
      </c>
      <c r="C377" s="50" t="s">
        <v>43</v>
      </c>
      <c r="D377" s="50" t="s">
        <v>550</v>
      </c>
      <c r="E377" s="50" t="s">
        <v>31</v>
      </c>
      <c r="F377" s="110">
        <f>Ведомственная!G590</f>
        <v>0</v>
      </c>
      <c r="G377" s="110">
        <f>Ведомственная!H590</f>
        <v>0</v>
      </c>
      <c r="H377" s="110" t="e">
        <f>Ведомственная!I590</f>
        <v>#DIV/0!</v>
      </c>
    </row>
    <row r="378" spans="2:8" s="6" customFormat="1" ht="25.5" hidden="1">
      <c r="B378" s="62" t="s">
        <v>30</v>
      </c>
      <c r="C378" s="50" t="s">
        <v>43</v>
      </c>
      <c r="D378" s="50" t="s">
        <v>550</v>
      </c>
      <c r="E378" s="50" t="s">
        <v>31</v>
      </c>
      <c r="F378" s="110">
        <f>Ведомственная!G591</f>
        <v>0</v>
      </c>
      <c r="G378" s="110">
        <f>Ведомственная!H591</f>
        <v>0</v>
      </c>
      <c r="H378" s="110" t="e">
        <f>Ведомственная!I591</f>
        <v>#DIV/0!</v>
      </c>
    </row>
    <row r="379" spans="2:8" s="6" customFormat="1" ht="25.5">
      <c r="B379" s="62" t="s">
        <v>509</v>
      </c>
      <c r="C379" s="50" t="s">
        <v>43</v>
      </c>
      <c r="D379" s="50" t="s">
        <v>550</v>
      </c>
      <c r="E379" s="50" t="s">
        <v>20</v>
      </c>
      <c r="F379" s="110">
        <f>Ведомственная!G592</f>
        <v>1000</v>
      </c>
      <c r="G379" s="110">
        <f>Ведомственная!H592</f>
        <v>1000</v>
      </c>
      <c r="H379" s="110">
        <f>Ведомственная!I592</f>
        <v>1</v>
      </c>
    </row>
    <row r="380" spans="2:8" s="6" customFormat="1" ht="25.5">
      <c r="B380" s="62" t="s">
        <v>504</v>
      </c>
      <c r="C380" s="50" t="s">
        <v>43</v>
      </c>
      <c r="D380" s="50" t="s">
        <v>550</v>
      </c>
      <c r="E380" s="50" t="s">
        <v>20</v>
      </c>
      <c r="F380" s="110">
        <f>Ведомственная!G593</f>
        <v>52.8</v>
      </c>
      <c r="G380" s="110">
        <f>Ведомственная!H593</f>
        <v>52.8</v>
      </c>
      <c r="H380" s="110">
        <f>Ведомственная!I593</f>
        <v>1</v>
      </c>
    </row>
    <row r="381" spans="2:8" s="6" customFormat="1" ht="25.5" hidden="1">
      <c r="B381" s="62" t="s">
        <v>518</v>
      </c>
      <c r="C381" s="50" t="s">
        <v>43</v>
      </c>
      <c r="D381" s="50" t="s">
        <v>546</v>
      </c>
      <c r="E381" s="50"/>
      <c r="F381" s="110">
        <f>F382+F383</f>
        <v>0</v>
      </c>
      <c r="G381" s="110">
        <f t="shared" ref="G381:H381" si="169">G382+G383</f>
        <v>0</v>
      </c>
      <c r="H381" s="110" t="e">
        <f t="shared" si="169"/>
        <v>#DIV/0!</v>
      </c>
    </row>
    <row r="382" spans="2:8" s="6" customFormat="1" hidden="1">
      <c r="B382" s="62" t="s">
        <v>19</v>
      </c>
      <c r="C382" s="50" t="s">
        <v>43</v>
      </c>
      <c r="D382" s="50" t="s">
        <v>545</v>
      </c>
      <c r="E382" s="50" t="s">
        <v>20</v>
      </c>
      <c r="F382" s="110">
        <f>Ведомственная!G595</f>
        <v>0</v>
      </c>
      <c r="G382" s="110">
        <f>Ведомственная!H595</f>
        <v>0</v>
      </c>
      <c r="H382" s="110" t="e">
        <f>Ведомственная!I595</f>
        <v>#DIV/0!</v>
      </c>
    </row>
    <row r="383" spans="2:8" s="6" customFormat="1" hidden="1">
      <c r="B383" s="62" t="s">
        <v>19</v>
      </c>
      <c r="C383" s="50" t="s">
        <v>43</v>
      </c>
      <c r="D383" s="50" t="s">
        <v>545</v>
      </c>
      <c r="E383" s="50" t="s">
        <v>20</v>
      </c>
      <c r="F383" s="110">
        <f>Ведомственная!G596</f>
        <v>0</v>
      </c>
      <c r="G383" s="110">
        <f>Ведомственная!H596</f>
        <v>0</v>
      </c>
      <c r="H383" s="110" t="e">
        <f>Ведомственная!I596</f>
        <v>#DIV/0!</v>
      </c>
    </row>
    <row r="384" spans="2:8" s="6" customFormat="1" ht="38.25">
      <c r="B384" s="62" t="s">
        <v>600</v>
      </c>
      <c r="C384" s="50" t="s">
        <v>43</v>
      </c>
      <c r="D384" s="50" t="s">
        <v>598</v>
      </c>
      <c r="E384" s="50"/>
      <c r="F384" s="110">
        <f>F385</f>
        <v>855</v>
      </c>
      <c r="G384" s="110">
        <f t="shared" ref="G384:H384" si="170">G385</f>
        <v>840</v>
      </c>
      <c r="H384" s="110">
        <f t="shared" si="170"/>
        <v>1.8571428571428572</v>
      </c>
    </row>
    <row r="385" spans="2:8" s="6" customFormat="1">
      <c r="B385" s="62" t="s">
        <v>601</v>
      </c>
      <c r="C385" s="50" t="s">
        <v>43</v>
      </c>
      <c r="D385" s="50" t="s">
        <v>599</v>
      </c>
      <c r="E385" s="50"/>
      <c r="F385" s="110">
        <f>F386+F387</f>
        <v>855</v>
      </c>
      <c r="G385" s="110">
        <f t="shared" ref="G385:H385" si="171">G386+G387</f>
        <v>840</v>
      </c>
      <c r="H385" s="110">
        <f t="shared" si="171"/>
        <v>1.8571428571428572</v>
      </c>
    </row>
    <row r="386" spans="2:8" s="6" customFormat="1" ht="25.5">
      <c r="B386" s="62" t="s">
        <v>559</v>
      </c>
      <c r="C386" s="50" t="s">
        <v>43</v>
      </c>
      <c r="D386" s="50" t="s">
        <v>599</v>
      </c>
      <c r="E386" s="50" t="s">
        <v>31</v>
      </c>
      <c r="F386" s="110">
        <f>Ведомственная!G599</f>
        <v>750</v>
      </c>
      <c r="G386" s="110">
        <f>Ведомственная!H599</f>
        <v>750</v>
      </c>
      <c r="H386" s="110">
        <f>Ведомственная!I599</f>
        <v>1</v>
      </c>
    </row>
    <row r="387" spans="2:8" s="6" customFormat="1" ht="25.5">
      <c r="B387" s="62" t="s">
        <v>554</v>
      </c>
      <c r="C387" s="50" t="s">
        <v>43</v>
      </c>
      <c r="D387" s="50" t="s">
        <v>599</v>
      </c>
      <c r="E387" s="50" t="s">
        <v>31</v>
      </c>
      <c r="F387" s="110">
        <f>Ведомственная!G600</f>
        <v>105</v>
      </c>
      <c r="G387" s="110">
        <f>Ведомственная!H600</f>
        <v>90</v>
      </c>
      <c r="H387" s="110">
        <f>Ведомственная!I600</f>
        <v>0.8571428571428571</v>
      </c>
    </row>
    <row r="388" spans="2:8" s="6" customFormat="1" ht="38.25">
      <c r="B388" s="62" t="s">
        <v>847</v>
      </c>
      <c r="C388" s="50" t="s">
        <v>43</v>
      </c>
      <c r="D388" s="50" t="s">
        <v>846</v>
      </c>
      <c r="E388" s="50"/>
      <c r="F388" s="110">
        <f>F389+F390</f>
        <v>0</v>
      </c>
      <c r="G388" s="110">
        <f t="shared" ref="G388:H388" si="172">G389+G390</f>
        <v>0</v>
      </c>
      <c r="H388" s="110" t="e">
        <f t="shared" si="172"/>
        <v>#DIV/0!</v>
      </c>
    </row>
    <row r="389" spans="2:8" s="6" customFormat="1" ht="25.5">
      <c r="B389" s="62" t="s">
        <v>509</v>
      </c>
      <c r="C389" s="50" t="s">
        <v>43</v>
      </c>
      <c r="D389" s="50" t="s">
        <v>846</v>
      </c>
      <c r="E389" s="50" t="s">
        <v>20</v>
      </c>
      <c r="F389" s="110">
        <f>Ведомственная!G602</f>
        <v>0</v>
      </c>
      <c r="G389" s="110">
        <f>Ведомственная!H602</f>
        <v>0</v>
      </c>
      <c r="H389" s="110" t="e">
        <f>Ведомственная!I602</f>
        <v>#DIV/0!</v>
      </c>
    </row>
    <row r="390" spans="2:8" s="6" customFormat="1" ht="25.5">
      <c r="B390" s="62" t="s">
        <v>504</v>
      </c>
      <c r="C390" s="50" t="s">
        <v>43</v>
      </c>
      <c r="D390" s="50" t="s">
        <v>846</v>
      </c>
      <c r="E390" s="50" t="s">
        <v>20</v>
      </c>
      <c r="F390" s="110">
        <f>Ведомственная!G603</f>
        <v>0</v>
      </c>
      <c r="G390" s="110">
        <f>Ведомственная!H603</f>
        <v>0</v>
      </c>
      <c r="H390" s="110" t="e">
        <f>Ведомственная!I603</f>
        <v>#DIV/0!</v>
      </c>
    </row>
    <row r="391" spans="2:8" s="6" customFormat="1" ht="38.25">
      <c r="B391" s="15" t="s">
        <v>858</v>
      </c>
      <c r="C391" s="50" t="s">
        <v>43</v>
      </c>
      <c r="D391" s="50" t="s">
        <v>851</v>
      </c>
      <c r="E391" s="50"/>
      <c r="F391" s="110">
        <f>F392+F393</f>
        <v>0</v>
      </c>
      <c r="G391" s="110">
        <f t="shared" ref="G391:H391" si="173">G392+G393</f>
        <v>0</v>
      </c>
      <c r="H391" s="110" t="e">
        <f t="shared" si="173"/>
        <v>#DIV/0!</v>
      </c>
    </row>
    <row r="392" spans="2:8" s="6" customFormat="1" ht="25.5">
      <c r="B392" s="15" t="s">
        <v>509</v>
      </c>
      <c r="C392" s="50" t="s">
        <v>43</v>
      </c>
      <c r="D392" s="50" t="s">
        <v>851</v>
      </c>
      <c r="E392" s="50" t="s">
        <v>20</v>
      </c>
      <c r="F392" s="110">
        <f>Ведомственная!G605</f>
        <v>0</v>
      </c>
      <c r="G392" s="110">
        <f>Ведомственная!H605</f>
        <v>0</v>
      </c>
      <c r="H392" s="110" t="e">
        <f>Ведомственная!I605</f>
        <v>#DIV/0!</v>
      </c>
    </row>
    <row r="393" spans="2:8" s="6" customFormat="1" ht="25.5">
      <c r="B393" s="15" t="s">
        <v>504</v>
      </c>
      <c r="C393" s="50" t="s">
        <v>43</v>
      </c>
      <c r="D393" s="50" t="s">
        <v>851</v>
      </c>
      <c r="E393" s="50" t="s">
        <v>20</v>
      </c>
      <c r="F393" s="110">
        <f>Ведомственная!G606</f>
        <v>0</v>
      </c>
      <c r="G393" s="110">
        <f>Ведомственная!H606</f>
        <v>0</v>
      </c>
      <c r="H393" s="110" t="e">
        <f>Ведомственная!I606</f>
        <v>#DIV/0!</v>
      </c>
    </row>
    <row r="394" spans="2:8" s="6" customFormat="1">
      <c r="B394" s="101" t="s">
        <v>731</v>
      </c>
      <c r="C394" s="11" t="s">
        <v>43</v>
      </c>
      <c r="D394" s="11" t="s">
        <v>526</v>
      </c>
      <c r="E394" s="11"/>
      <c r="F394" s="108">
        <f>F395</f>
        <v>0</v>
      </c>
      <c r="G394" s="108">
        <f t="shared" ref="G394:H394" si="174">G395</f>
        <v>0</v>
      </c>
      <c r="H394" s="108" t="e">
        <f t="shared" si="174"/>
        <v>#DIV/0!</v>
      </c>
    </row>
    <row r="395" spans="2:8" s="6" customFormat="1" ht="25.5">
      <c r="B395" s="62" t="s">
        <v>753</v>
      </c>
      <c r="C395" s="50" t="s">
        <v>43</v>
      </c>
      <c r="D395" s="50" t="s">
        <v>526</v>
      </c>
      <c r="E395" s="50" t="s">
        <v>265</v>
      </c>
      <c r="F395" s="110">
        <f>F396+F397</f>
        <v>0</v>
      </c>
      <c r="G395" s="110">
        <f t="shared" ref="G395:H395" si="175">G396+G397</f>
        <v>0</v>
      </c>
      <c r="H395" s="110" t="e">
        <f t="shared" si="175"/>
        <v>#DIV/0!</v>
      </c>
    </row>
    <row r="396" spans="2:8" s="6" customFormat="1" ht="25.5">
      <c r="B396" s="62" t="s">
        <v>736</v>
      </c>
      <c r="C396" s="50" t="s">
        <v>43</v>
      </c>
      <c r="D396" s="50" t="s">
        <v>657</v>
      </c>
      <c r="E396" s="50" t="s">
        <v>265</v>
      </c>
      <c r="F396" s="110">
        <f>Ведомственная!G291</f>
        <v>0</v>
      </c>
      <c r="G396" s="110">
        <f>Ведомственная!H291</f>
        <v>0</v>
      </c>
      <c r="H396" s="110" t="e">
        <f>Ведомственная!I291</f>
        <v>#DIV/0!</v>
      </c>
    </row>
    <row r="397" spans="2:8" s="6" customFormat="1" ht="25.5" hidden="1">
      <c r="B397" s="62" t="s">
        <v>738</v>
      </c>
      <c r="C397" s="50" t="s">
        <v>43</v>
      </c>
      <c r="D397" s="50" t="s">
        <v>659</v>
      </c>
      <c r="E397" s="50" t="s">
        <v>265</v>
      </c>
      <c r="F397" s="110">
        <f>Ведомственная!G292</f>
        <v>0</v>
      </c>
      <c r="G397" s="110">
        <f>Ведомственная!H292</f>
        <v>0</v>
      </c>
      <c r="H397" s="110" t="e">
        <f>Ведомственная!I292</f>
        <v>#DIV/0!</v>
      </c>
    </row>
    <row r="398" spans="2:8" s="6" customFormat="1" ht="51">
      <c r="B398" s="74" t="s">
        <v>896</v>
      </c>
      <c r="C398" s="11" t="s">
        <v>43</v>
      </c>
      <c r="D398" s="11" t="s">
        <v>606</v>
      </c>
      <c r="E398" s="11"/>
      <c r="F398" s="108">
        <f>F399</f>
        <v>11093</v>
      </c>
      <c r="G398" s="108">
        <f t="shared" ref="G398:H399" si="176">G399</f>
        <v>11093</v>
      </c>
      <c r="H398" s="108">
        <f t="shared" si="176"/>
        <v>2</v>
      </c>
    </row>
    <row r="399" spans="2:8" s="6" customFormat="1" ht="38.25">
      <c r="B399" s="62" t="s">
        <v>610</v>
      </c>
      <c r="C399" s="50" t="s">
        <v>43</v>
      </c>
      <c r="D399" s="50" t="s">
        <v>607</v>
      </c>
      <c r="E399" s="50"/>
      <c r="F399" s="110">
        <f>F400</f>
        <v>11093</v>
      </c>
      <c r="G399" s="110">
        <f t="shared" si="176"/>
        <v>11093</v>
      </c>
      <c r="H399" s="110">
        <f t="shared" si="176"/>
        <v>2</v>
      </c>
    </row>
    <row r="400" spans="2:8" s="6" customFormat="1" ht="25.5">
      <c r="B400" s="62" t="s">
        <v>609</v>
      </c>
      <c r="C400" s="50" t="s">
        <v>43</v>
      </c>
      <c r="D400" s="50" t="s">
        <v>608</v>
      </c>
      <c r="E400" s="50"/>
      <c r="F400" s="110">
        <f>F401+F402</f>
        <v>11093</v>
      </c>
      <c r="G400" s="110">
        <f t="shared" ref="G400:H400" si="177">G401+G402</f>
        <v>11093</v>
      </c>
      <c r="H400" s="110">
        <f t="shared" si="177"/>
        <v>2</v>
      </c>
    </row>
    <row r="401" spans="2:8" s="6" customFormat="1" ht="51">
      <c r="B401" s="62" t="s">
        <v>17</v>
      </c>
      <c r="C401" s="50" t="s">
        <v>43</v>
      </c>
      <c r="D401" s="50" t="s">
        <v>608</v>
      </c>
      <c r="E401" s="50" t="s">
        <v>18</v>
      </c>
      <c r="F401" s="110">
        <f>Ведомственная!G610</f>
        <v>8886.6</v>
      </c>
      <c r="G401" s="110">
        <f>Ведомственная!H610</f>
        <v>8886.6</v>
      </c>
      <c r="H401" s="110">
        <f>Ведомственная!I610</f>
        <v>1</v>
      </c>
    </row>
    <row r="402" spans="2:8" s="6" customFormat="1" ht="25.5">
      <c r="B402" s="62" t="s">
        <v>559</v>
      </c>
      <c r="C402" s="50" t="s">
        <v>43</v>
      </c>
      <c r="D402" s="50" t="s">
        <v>608</v>
      </c>
      <c r="E402" s="50" t="s">
        <v>31</v>
      </c>
      <c r="F402" s="110">
        <f>Ведомственная!G611</f>
        <v>2206.4</v>
      </c>
      <c r="G402" s="110">
        <f>Ведомственная!H611</f>
        <v>2206.4</v>
      </c>
      <c r="H402" s="110">
        <f>Ведомственная!I611</f>
        <v>1</v>
      </c>
    </row>
    <row r="403" spans="2:8" s="6" customFormat="1" ht="38.25">
      <c r="B403" s="74" t="s">
        <v>624</v>
      </c>
      <c r="C403" s="11" t="s">
        <v>43</v>
      </c>
      <c r="D403" s="11" t="s">
        <v>625</v>
      </c>
      <c r="E403" s="11"/>
      <c r="F403" s="108">
        <f>F404+F411</f>
        <v>14920.5</v>
      </c>
      <c r="G403" s="108">
        <f t="shared" ref="G403:H403" si="178">G404+G411</f>
        <v>12776.1</v>
      </c>
      <c r="H403" s="108" t="e">
        <f t="shared" si="178"/>
        <v>#DIV/0!</v>
      </c>
    </row>
    <row r="404" spans="2:8" s="6" customFormat="1">
      <c r="B404" s="62" t="s">
        <v>626</v>
      </c>
      <c r="C404" s="50" t="s">
        <v>43</v>
      </c>
      <c r="D404" s="50" t="s">
        <v>628</v>
      </c>
      <c r="E404" s="50"/>
      <c r="F404" s="110">
        <f>F405+F407+F406+F408+F409+F410</f>
        <v>8810.7000000000007</v>
      </c>
      <c r="G404" s="110">
        <f t="shared" ref="G404:H404" si="179">G405+G407+G406+G408+G409+G410</f>
        <v>8038.2000000000007</v>
      </c>
      <c r="H404" s="110">
        <f t="shared" si="179"/>
        <v>4.3739205049793179</v>
      </c>
    </row>
    <row r="405" spans="2:8" s="6" customFormat="1" ht="25.5">
      <c r="B405" s="62" t="s">
        <v>504</v>
      </c>
      <c r="C405" s="50" t="s">
        <v>43</v>
      </c>
      <c r="D405" s="50" t="s">
        <v>634</v>
      </c>
      <c r="E405" s="50" t="s">
        <v>20</v>
      </c>
      <c r="F405" s="110">
        <f>Ведомственная!G614</f>
        <v>1300.6000000000001</v>
      </c>
      <c r="G405" s="110">
        <f>Ведомственная!H614</f>
        <v>0</v>
      </c>
      <c r="H405" s="110">
        <f>Ведомственная!I614</f>
        <v>0</v>
      </c>
    </row>
    <row r="406" spans="2:8" s="6" customFormat="1" ht="25.5">
      <c r="B406" s="62" t="s">
        <v>509</v>
      </c>
      <c r="C406" s="50" t="s">
        <v>43</v>
      </c>
      <c r="D406" s="50" t="s">
        <v>634</v>
      </c>
      <c r="E406" s="50" t="s">
        <v>20</v>
      </c>
      <c r="F406" s="110">
        <f>Ведомственная!G615</f>
        <v>3999.8</v>
      </c>
      <c r="G406" s="110">
        <f>Ведомственная!H615</f>
        <v>5096.1000000000004</v>
      </c>
      <c r="H406" s="110">
        <f>Ведомственная!I615</f>
        <v>1.2740887044352218</v>
      </c>
    </row>
    <row r="407" spans="2:8" s="6" customFormat="1" ht="25.5">
      <c r="B407" s="62" t="s">
        <v>554</v>
      </c>
      <c r="C407" s="50" t="s">
        <v>43</v>
      </c>
      <c r="D407" s="50" t="s">
        <v>634</v>
      </c>
      <c r="E407" s="50" t="s">
        <v>31</v>
      </c>
      <c r="F407" s="110">
        <f>Ведомственная!G616</f>
        <v>783</v>
      </c>
      <c r="G407" s="110">
        <f>Ведомственная!H616</f>
        <v>600.70000000000005</v>
      </c>
      <c r="H407" s="110">
        <f>Ведомственная!I616</f>
        <v>0.76717752234993619</v>
      </c>
    </row>
    <row r="408" spans="2:8" s="6" customFormat="1" ht="25.5">
      <c r="B408" s="62" t="s">
        <v>559</v>
      </c>
      <c r="C408" s="50" t="s">
        <v>43</v>
      </c>
      <c r="D408" s="50" t="s">
        <v>634</v>
      </c>
      <c r="E408" s="50" t="s">
        <v>31</v>
      </c>
      <c r="F408" s="110">
        <f>Ведомственная!G617</f>
        <v>2393.1999999999998</v>
      </c>
      <c r="G408" s="110">
        <f>Ведомственная!H617</f>
        <v>2097</v>
      </c>
      <c r="H408" s="110">
        <f>Ведомственная!I617</f>
        <v>0.87623265920106974</v>
      </c>
    </row>
    <row r="409" spans="2:8" s="6" customFormat="1" ht="25.5">
      <c r="B409" s="62" t="s">
        <v>504</v>
      </c>
      <c r="C409" s="50" t="s">
        <v>43</v>
      </c>
      <c r="D409" s="50" t="s">
        <v>637</v>
      </c>
      <c r="E409" s="50" t="s">
        <v>20</v>
      </c>
      <c r="F409" s="110">
        <f>Ведомственная!G618</f>
        <v>216.1</v>
      </c>
      <c r="G409" s="110">
        <f>Ведомственная!H618</f>
        <v>159.80000000000001</v>
      </c>
      <c r="H409" s="110">
        <f>Ведомственная!I618</f>
        <v>0.73947246645071729</v>
      </c>
    </row>
    <row r="410" spans="2:8" s="6" customFormat="1" ht="25.5">
      <c r="B410" s="62" t="s">
        <v>554</v>
      </c>
      <c r="C410" s="50" t="s">
        <v>43</v>
      </c>
      <c r="D410" s="50" t="s">
        <v>637</v>
      </c>
      <c r="E410" s="50" t="s">
        <v>31</v>
      </c>
      <c r="F410" s="110">
        <f>Ведомственная!G619</f>
        <v>118</v>
      </c>
      <c r="G410" s="110">
        <f>Ведомственная!H619</f>
        <v>84.6</v>
      </c>
      <c r="H410" s="110">
        <f>Ведомственная!I619</f>
        <v>0.71694915254237279</v>
      </c>
    </row>
    <row r="411" spans="2:8" s="6" customFormat="1" ht="25.5">
      <c r="B411" s="62" t="s">
        <v>627</v>
      </c>
      <c r="C411" s="50" t="s">
        <v>43</v>
      </c>
      <c r="D411" s="50" t="s">
        <v>629</v>
      </c>
      <c r="E411" s="50"/>
      <c r="F411" s="110">
        <f>SUM(F412:F415)+F416+F417</f>
        <v>6109.8</v>
      </c>
      <c r="G411" s="110">
        <f t="shared" ref="G411:H411" si="180">SUM(G412:G415)+G416+G417</f>
        <v>4737.8999999999996</v>
      </c>
      <c r="H411" s="110" t="e">
        <f t="shared" si="180"/>
        <v>#DIV/0!</v>
      </c>
    </row>
    <row r="412" spans="2:8" s="6" customFormat="1" ht="25.5">
      <c r="B412" s="62" t="s">
        <v>504</v>
      </c>
      <c r="C412" s="50" t="s">
        <v>43</v>
      </c>
      <c r="D412" s="50" t="s">
        <v>630</v>
      </c>
      <c r="E412" s="50" t="s">
        <v>20</v>
      </c>
      <c r="F412" s="110">
        <f>Ведомственная!G621</f>
        <v>1370.8</v>
      </c>
      <c r="G412" s="110">
        <f>Ведомственная!H621</f>
        <v>912.3</v>
      </c>
      <c r="H412" s="110">
        <f>Ведомственная!I621</f>
        <v>0.66552378173329441</v>
      </c>
    </row>
    <row r="413" spans="2:8" s="6" customFormat="1" ht="25.5">
      <c r="B413" s="62" t="s">
        <v>509</v>
      </c>
      <c r="C413" s="50" t="s">
        <v>43</v>
      </c>
      <c r="D413" s="50" t="s">
        <v>635</v>
      </c>
      <c r="E413" s="50" t="s">
        <v>20</v>
      </c>
      <c r="F413" s="110">
        <f>Ведомственная!G622</f>
        <v>3292.3999999999996</v>
      </c>
      <c r="G413" s="110">
        <f>Ведомственная!H622</f>
        <v>2482.1999999999998</v>
      </c>
      <c r="H413" s="110">
        <f>Ведомственная!I622</f>
        <v>0.75391811444538936</v>
      </c>
    </row>
    <row r="414" spans="2:8" s="6" customFormat="1" ht="25.5">
      <c r="B414" s="62" t="s">
        <v>554</v>
      </c>
      <c r="C414" s="50" t="s">
        <v>43</v>
      </c>
      <c r="D414" s="50" t="s">
        <v>631</v>
      </c>
      <c r="E414" s="50" t="s">
        <v>31</v>
      </c>
      <c r="F414" s="110">
        <f>Ведомственная!G623</f>
        <v>434</v>
      </c>
      <c r="G414" s="110">
        <f>Ведомственная!H623</f>
        <v>434</v>
      </c>
      <c r="H414" s="110">
        <f>Ведомственная!I623</f>
        <v>1</v>
      </c>
    </row>
    <row r="415" spans="2:8" s="6" customFormat="1" ht="25.5">
      <c r="B415" s="62" t="s">
        <v>559</v>
      </c>
      <c r="C415" s="50" t="s">
        <v>43</v>
      </c>
      <c r="D415" s="50" t="s">
        <v>635</v>
      </c>
      <c r="E415" s="50" t="s">
        <v>31</v>
      </c>
      <c r="F415" s="110">
        <f>Ведомственная!G624</f>
        <v>1012.6</v>
      </c>
      <c r="G415" s="110">
        <f>Ведомственная!H624</f>
        <v>909.4</v>
      </c>
      <c r="H415" s="110">
        <f>Ведомственная!I624</f>
        <v>0.8980841398380407</v>
      </c>
    </row>
    <row r="416" spans="2:8" s="6" customFormat="1" ht="25.5">
      <c r="B416" s="62" t="s">
        <v>504</v>
      </c>
      <c r="C416" s="50" t="s">
        <v>43</v>
      </c>
      <c r="D416" s="50" t="s">
        <v>638</v>
      </c>
      <c r="E416" s="50" t="s">
        <v>20</v>
      </c>
      <c r="F416" s="110">
        <f>Ведомственная!G625</f>
        <v>0</v>
      </c>
      <c r="G416" s="110">
        <f>Ведомственная!H625</f>
        <v>0</v>
      </c>
      <c r="H416" s="110" t="e">
        <f>Ведомственная!I625</f>
        <v>#DIV/0!</v>
      </c>
    </row>
    <row r="417" spans="2:8" s="6" customFormat="1" ht="25.5">
      <c r="B417" s="62" t="s">
        <v>554</v>
      </c>
      <c r="C417" s="50" t="s">
        <v>43</v>
      </c>
      <c r="D417" s="50" t="s">
        <v>638</v>
      </c>
      <c r="E417" s="50" t="s">
        <v>31</v>
      </c>
      <c r="F417" s="110">
        <f>Ведомственная!G626</f>
        <v>0</v>
      </c>
      <c r="G417" s="110">
        <f>Ведомственная!H626</f>
        <v>0</v>
      </c>
      <c r="H417" s="110" t="e">
        <f>Ведомственная!I626</f>
        <v>#DIV/0!</v>
      </c>
    </row>
    <row r="418" spans="2:8">
      <c r="B418" s="62" t="s">
        <v>78</v>
      </c>
      <c r="C418" s="50" t="s">
        <v>43</v>
      </c>
      <c r="D418" s="50" t="s">
        <v>139</v>
      </c>
      <c r="E418" s="50"/>
      <c r="F418" s="110">
        <f>F419+F434+F461+F478+F481+F454+F422+F424+F426+F428+F483+F436+F430+F432+F485+F488+F491+F494+F497+F502</f>
        <v>155253.20000000001</v>
      </c>
      <c r="G418" s="110">
        <f>G419+G434+G461+G478+G481+G454+G422+G424+G426+G428+G483+G436+G430+G432+G485+G488+G491+G494+G497+G502</f>
        <v>141935.69999999998</v>
      </c>
      <c r="H418" s="110" t="e">
        <f>H419+H434+H461+H478+H481+H454+H422+H424+H426+H428+H483+H436+H430+H432+H485+H488+H491+H494+H497+H502</f>
        <v>#DIV/0!</v>
      </c>
    </row>
    <row r="419" spans="2:8">
      <c r="B419" s="62" t="s">
        <v>105</v>
      </c>
      <c r="C419" s="50" t="s">
        <v>43</v>
      </c>
      <c r="D419" s="50" t="s">
        <v>148</v>
      </c>
      <c r="E419" s="50"/>
      <c r="F419" s="110">
        <f>F420+F421</f>
        <v>21538.399999999998</v>
      </c>
      <c r="G419" s="110">
        <f t="shared" ref="G419:H419" si="181">G420+G421</f>
        <v>16727.2</v>
      </c>
      <c r="H419" s="110">
        <f t="shared" si="181"/>
        <v>1.4640416746884681</v>
      </c>
    </row>
    <row r="420" spans="2:8" ht="51">
      <c r="B420" s="62" t="s">
        <v>17</v>
      </c>
      <c r="C420" s="50" t="s">
        <v>43</v>
      </c>
      <c r="D420" s="50" t="s">
        <v>148</v>
      </c>
      <c r="E420" s="50" t="s">
        <v>18</v>
      </c>
      <c r="F420" s="110">
        <f>Ведомственная!G629</f>
        <v>299.5</v>
      </c>
      <c r="G420" s="110">
        <f>Ведомственная!H629</f>
        <v>205.5</v>
      </c>
      <c r="H420" s="110">
        <f>Ведомственная!I629</f>
        <v>0.68614357262103509</v>
      </c>
    </row>
    <row r="421" spans="2:8">
      <c r="B421" s="62" t="s">
        <v>19</v>
      </c>
      <c r="C421" s="50" t="s">
        <v>43</v>
      </c>
      <c r="D421" s="50" t="s">
        <v>148</v>
      </c>
      <c r="E421" s="50" t="s">
        <v>20</v>
      </c>
      <c r="F421" s="110">
        <f>Ведомственная!G630</f>
        <v>21238.899999999998</v>
      </c>
      <c r="G421" s="110">
        <f>Ведомственная!H630</f>
        <v>16521.7</v>
      </c>
      <c r="H421" s="110">
        <f>Ведомственная!I630</f>
        <v>0.77789810206743304</v>
      </c>
    </row>
    <row r="422" spans="2:8" ht="25.5">
      <c r="B422" s="62" t="s">
        <v>332</v>
      </c>
      <c r="C422" s="50" t="s">
        <v>43</v>
      </c>
      <c r="D422" s="50" t="s">
        <v>333</v>
      </c>
      <c r="E422" s="50"/>
      <c r="F422" s="110">
        <f>F423</f>
        <v>267.00000000000006</v>
      </c>
      <c r="G422" s="110">
        <f t="shared" ref="G422:H422" si="182">G423</f>
        <v>176.9</v>
      </c>
      <c r="H422" s="110">
        <f t="shared" si="182"/>
        <v>0.66254681647940061</v>
      </c>
    </row>
    <row r="423" spans="2:8">
      <c r="B423" s="62" t="s">
        <v>19</v>
      </c>
      <c r="C423" s="50" t="s">
        <v>43</v>
      </c>
      <c r="D423" s="50" t="s">
        <v>333</v>
      </c>
      <c r="E423" s="50" t="s">
        <v>20</v>
      </c>
      <c r="F423" s="110">
        <f>Ведомственная!G632</f>
        <v>267.00000000000006</v>
      </c>
      <c r="G423" s="110">
        <f>Ведомственная!H632</f>
        <v>176.9</v>
      </c>
      <c r="H423" s="110">
        <f>Ведомственная!I632</f>
        <v>0.66254681647940061</v>
      </c>
    </row>
    <row r="424" spans="2:8" ht="25.5">
      <c r="B424" s="62" t="s">
        <v>510</v>
      </c>
      <c r="C424" s="50" t="s">
        <v>43</v>
      </c>
      <c r="D424" s="50" t="s">
        <v>499</v>
      </c>
      <c r="E424" s="50"/>
      <c r="F424" s="110">
        <f t="shared" ref="F424:H424" si="183">F425</f>
        <v>330.5</v>
      </c>
      <c r="G424" s="110">
        <f t="shared" si="183"/>
        <v>278</v>
      </c>
      <c r="H424" s="110">
        <f t="shared" si="183"/>
        <v>0.84114977307110439</v>
      </c>
    </row>
    <row r="425" spans="2:8">
      <c r="B425" s="62" t="s">
        <v>19</v>
      </c>
      <c r="C425" s="50" t="s">
        <v>43</v>
      </c>
      <c r="D425" s="50" t="s">
        <v>499</v>
      </c>
      <c r="E425" s="50" t="s">
        <v>20</v>
      </c>
      <c r="F425" s="110">
        <f>Ведомственная!G634</f>
        <v>330.5</v>
      </c>
      <c r="G425" s="110">
        <f>Ведомственная!H634</f>
        <v>278</v>
      </c>
      <c r="H425" s="110">
        <f>Ведомственная!I634</f>
        <v>0.84114977307110439</v>
      </c>
    </row>
    <row r="426" spans="2:8" ht="38.25">
      <c r="B426" s="62" t="s">
        <v>511</v>
      </c>
      <c r="C426" s="50" t="s">
        <v>43</v>
      </c>
      <c r="D426" s="50" t="s">
        <v>500</v>
      </c>
      <c r="E426" s="50"/>
      <c r="F426" s="110">
        <f t="shared" ref="F426:H426" si="184">F427</f>
        <v>245.9</v>
      </c>
      <c r="G426" s="110">
        <f t="shared" si="184"/>
        <v>201.5</v>
      </c>
      <c r="H426" s="110">
        <f t="shared" si="184"/>
        <v>0.81943879625864169</v>
      </c>
    </row>
    <row r="427" spans="2:8">
      <c r="B427" s="62" t="s">
        <v>19</v>
      </c>
      <c r="C427" s="50" t="s">
        <v>43</v>
      </c>
      <c r="D427" s="50" t="s">
        <v>500</v>
      </c>
      <c r="E427" s="50" t="s">
        <v>20</v>
      </c>
      <c r="F427" s="110">
        <f>Ведомственная!G636</f>
        <v>245.9</v>
      </c>
      <c r="G427" s="110">
        <f>Ведомственная!H636</f>
        <v>201.5</v>
      </c>
      <c r="H427" s="110">
        <f>Ведомственная!I636</f>
        <v>0.81943879625864169</v>
      </c>
    </row>
    <row r="428" spans="2:8" ht="38.25">
      <c r="B428" s="62" t="s">
        <v>512</v>
      </c>
      <c r="C428" s="50" t="s">
        <v>43</v>
      </c>
      <c r="D428" s="50" t="s">
        <v>501</v>
      </c>
      <c r="E428" s="50"/>
      <c r="F428" s="110">
        <f t="shared" ref="F428:H428" si="185">F429</f>
        <v>0</v>
      </c>
      <c r="G428" s="110">
        <f t="shared" si="185"/>
        <v>0</v>
      </c>
      <c r="H428" s="110" t="e">
        <f t="shared" si="185"/>
        <v>#DIV/0!</v>
      </c>
    </row>
    <row r="429" spans="2:8">
      <c r="B429" s="62" t="s">
        <v>19</v>
      </c>
      <c r="C429" s="50" t="s">
        <v>43</v>
      </c>
      <c r="D429" s="50" t="s">
        <v>501</v>
      </c>
      <c r="E429" s="50" t="s">
        <v>20</v>
      </c>
      <c r="F429" s="110">
        <f>Ведомственная!G638</f>
        <v>0</v>
      </c>
      <c r="G429" s="110">
        <f>Ведомственная!H638</f>
        <v>0</v>
      </c>
      <c r="H429" s="110" t="e">
        <f>Ведомственная!I638</f>
        <v>#DIV/0!</v>
      </c>
    </row>
    <row r="430" spans="2:8" ht="38.25">
      <c r="B430" s="62" t="s">
        <v>613</v>
      </c>
      <c r="C430" s="50" t="s">
        <v>43</v>
      </c>
      <c r="D430" s="50" t="s">
        <v>614</v>
      </c>
      <c r="E430" s="50"/>
      <c r="F430" s="110">
        <f>F431</f>
        <v>1194.2</v>
      </c>
      <c r="G430" s="110">
        <f t="shared" ref="G430:H430" si="186">G431</f>
        <v>1181.3</v>
      </c>
      <c r="H430" s="110">
        <f t="shared" si="186"/>
        <v>0.98919778931502256</v>
      </c>
    </row>
    <row r="431" spans="2:8">
      <c r="B431" s="62" t="s">
        <v>19</v>
      </c>
      <c r="C431" s="50" t="s">
        <v>43</v>
      </c>
      <c r="D431" s="50" t="s">
        <v>614</v>
      </c>
      <c r="E431" s="50" t="s">
        <v>20</v>
      </c>
      <c r="F431" s="110">
        <f>Ведомственная!G286</f>
        <v>1194.2</v>
      </c>
      <c r="G431" s="110">
        <f>Ведомственная!H286</f>
        <v>1181.3</v>
      </c>
      <c r="H431" s="110">
        <f>Ведомственная!I286</f>
        <v>0.98919778931502256</v>
      </c>
    </row>
    <row r="432" spans="2:8" ht="51">
      <c r="B432" s="102" t="s">
        <v>615</v>
      </c>
      <c r="C432" s="50" t="s">
        <v>43</v>
      </c>
      <c r="D432" s="50" t="s">
        <v>616</v>
      </c>
      <c r="E432" s="50"/>
      <c r="F432" s="110">
        <f>F433</f>
        <v>0</v>
      </c>
      <c r="G432" s="110">
        <f t="shared" ref="G432:H432" si="187">G433</f>
        <v>0</v>
      </c>
      <c r="H432" s="110" t="e">
        <f t="shared" si="187"/>
        <v>#DIV/0!</v>
      </c>
    </row>
    <row r="433" spans="2:8">
      <c r="B433" s="62" t="s">
        <v>19</v>
      </c>
      <c r="C433" s="50" t="s">
        <v>43</v>
      </c>
      <c r="D433" s="50" t="s">
        <v>616</v>
      </c>
      <c r="E433" s="50" t="s">
        <v>20</v>
      </c>
      <c r="F433" s="110">
        <f>Ведомственная!G288</f>
        <v>0</v>
      </c>
      <c r="G433" s="110">
        <f>Ведомственная!H288</f>
        <v>0</v>
      </c>
      <c r="H433" s="110" t="e">
        <f>Ведомственная!I288</f>
        <v>#DIV/0!</v>
      </c>
    </row>
    <row r="434" spans="2:8">
      <c r="B434" s="62" t="s">
        <v>119</v>
      </c>
      <c r="C434" s="50" t="s">
        <v>43</v>
      </c>
      <c r="D434" s="50" t="s">
        <v>174</v>
      </c>
      <c r="E434" s="50"/>
      <c r="F434" s="110">
        <f>F435</f>
        <v>6161.5999999999995</v>
      </c>
      <c r="G434" s="110">
        <f t="shared" ref="G434:H434" si="188">G435</f>
        <v>5111.1000000000004</v>
      </c>
      <c r="H434" s="110">
        <f t="shared" si="188"/>
        <v>0.82950856920280458</v>
      </c>
    </row>
    <row r="435" spans="2:8" ht="25.5">
      <c r="B435" s="62" t="s">
        <v>30</v>
      </c>
      <c r="C435" s="50" t="s">
        <v>43</v>
      </c>
      <c r="D435" s="50" t="s">
        <v>174</v>
      </c>
      <c r="E435" s="50" t="s">
        <v>31</v>
      </c>
      <c r="F435" s="110">
        <f>Ведомственная!G640</f>
        <v>6161.5999999999995</v>
      </c>
      <c r="G435" s="110">
        <f>Ведомственная!H640</f>
        <v>5111.1000000000004</v>
      </c>
      <c r="H435" s="110">
        <f>Ведомственная!I640</f>
        <v>0.82950856920280458</v>
      </c>
    </row>
    <row r="436" spans="2:8">
      <c r="B436" s="62" t="s">
        <v>596</v>
      </c>
      <c r="C436" s="50" t="s">
        <v>43</v>
      </c>
      <c r="D436" s="50" t="s">
        <v>595</v>
      </c>
      <c r="E436" s="50"/>
      <c r="F436" s="110">
        <f>F437+F438</f>
        <v>0</v>
      </c>
      <c r="G436" s="110">
        <f t="shared" ref="G436:H436" si="189">G437+G438</f>
        <v>0</v>
      </c>
      <c r="H436" s="110" t="e">
        <f t="shared" si="189"/>
        <v>#DIV/0!</v>
      </c>
    </row>
    <row r="437" spans="2:8" ht="51">
      <c r="B437" s="62" t="s">
        <v>17</v>
      </c>
      <c r="C437" s="50" t="s">
        <v>43</v>
      </c>
      <c r="D437" s="50" t="s">
        <v>595</v>
      </c>
      <c r="E437" s="50" t="s">
        <v>18</v>
      </c>
      <c r="F437" s="110">
        <f>Ведомственная!G642</f>
        <v>0</v>
      </c>
      <c r="G437" s="110">
        <f>Ведомственная!H642</f>
        <v>0</v>
      </c>
      <c r="H437" s="110" t="e">
        <f>Ведомственная!I642</f>
        <v>#DIV/0!</v>
      </c>
    </row>
    <row r="438" spans="2:8" ht="25.5">
      <c r="B438" s="62" t="s">
        <v>30</v>
      </c>
      <c r="C438" s="50" t="s">
        <v>43</v>
      </c>
      <c r="D438" s="50" t="s">
        <v>595</v>
      </c>
      <c r="E438" s="50" t="s">
        <v>31</v>
      </c>
      <c r="F438" s="110">
        <f>Ведомственная!G643</f>
        <v>0</v>
      </c>
      <c r="G438" s="110">
        <f>Ведомственная!H643</f>
        <v>0</v>
      </c>
      <c r="H438" s="110" t="e">
        <f>Ведомственная!I643</f>
        <v>#DIV/0!</v>
      </c>
    </row>
    <row r="439" spans="2:8" ht="38.25">
      <c r="B439" s="62" t="s">
        <v>602</v>
      </c>
      <c r="C439" s="50" t="s">
        <v>43</v>
      </c>
      <c r="D439" s="50" t="s">
        <v>603</v>
      </c>
      <c r="E439" s="50"/>
      <c r="F439" s="110">
        <f>F440+F441</f>
        <v>139.4</v>
      </c>
      <c r="G439" s="110">
        <f t="shared" ref="G439:H439" si="190">G440+G441</f>
        <v>88.5</v>
      </c>
      <c r="H439" s="110">
        <f t="shared" si="190"/>
        <v>0.93534444444444431</v>
      </c>
    </row>
    <row r="440" spans="2:8" ht="51">
      <c r="B440" s="62" t="s">
        <v>17</v>
      </c>
      <c r="C440" s="50" t="s">
        <v>43</v>
      </c>
      <c r="D440" s="50" t="s">
        <v>603</v>
      </c>
      <c r="E440" s="50" t="s">
        <v>18</v>
      </c>
      <c r="F440" s="110">
        <f>Ведомственная!G684</f>
        <v>124.99999999999999</v>
      </c>
      <c r="G440" s="110">
        <f>Ведомственная!H684</f>
        <v>84.8</v>
      </c>
      <c r="H440" s="110">
        <f>Ведомственная!I684</f>
        <v>0.6784</v>
      </c>
    </row>
    <row r="441" spans="2:8" ht="25.5">
      <c r="B441" s="62" t="s">
        <v>30</v>
      </c>
      <c r="C441" s="50" t="s">
        <v>43</v>
      </c>
      <c r="D441" s="50" t="s">
        <v>603</v>
      </c>
      <c r="E441" s="50" t="s">
        <v>31</v>
      </c>
      <c r="F441" s="110">
        <f>Ведомственная!G685</f>
        <v>14.400000000000011</v>
      </c>
      <c r="G441" s="110">
        <f>Ведомственная!H685</f>
        <v>3.7</v>
      </c>
      <c r="H441" s="110">
        <f>Ведомственная!I685</f>
        <v>0.25694444444444425</v>
      </c>
    </row>
    <row r="442" spans="2:8" ht="38.25">
      <c r="B442" s="14" t="s">
        <v>862</v>
      </c>
      <c r="C442" s="50" t="s">
        <v>43</v>
      </c>
      <c r="D442" s="50" t="s">
        <v>790</v>
      </c>
      <c r="E442" s="50"/>
      <c r="F442" s="110">
        <f>F443+F446+F449</f>
        <v>1003.5000000000001</v>
      </c>
      <c r="G442" s="110">
        <f t="shared" ref="G442:H442" si="191">G443+G446+G449</f>
        <v>1003.4</v>
      </c>
      <c r="H442" s="110" t="e">
        <f t="shared" si="191"/>
        <v>#DIV/0!</v>
      </c>
    </row>
    <row r="443" spans="2:8" ht="51">
      <c r="B443" s="15" t="s">
        <v>815</v>
      </c>
      <c r="C443" s="50" t="s">
        <v>43</v>
      </c>
      <c r="D443" s="50" t="s">
        <v>791</v>
      </c>
      <c r="E443" s="50"/>
      <c r="F443" s="110">
        <f>SUM(F444:F445)</f>
        <v>807.00000000000011</v>
      </c>
      <c r="G443" s="110">
        <f t="shared" ref="G443:H443" si="192">SUM(G444:G445)</f>
        <v>807</v>
      </c>
      <c r="H443" s="110">
        <f t="shared" si="192"/>
        <v>1.9999999999999998</v>
      </c>
    </row>
    <row r="444" spans="2:8" ht="51">
      <c r="B444" s="15" t="s">
        <v>17</v>
      </c>
      <c r="C444" s="50" t="s">
        <v>43</v>
      </c>
      <c r="D444" s="50" t="s">
        <v>792</v>
      </c>
      <c r="E444" s="50" t="s">
        <v>18</v>
      </c>
      <c r="F444" s="110">
        <f>Ведомственная!G646</f>
        <v>714.90000000000009</v>
      </c>
      <c r="G444" s="110">
        <f>Ведомственная!H646</f>
        <v>714.9</v>
      </c>
      <c r="H444" s="110">
        <f>Ведомственная!I646</f>
        <v>0.99999999999999989</v>
      </c>
    </row>
    <row r="445" spans="2:8" ht="25.5">
      <c r="B445" s="15" t="s">
        <v>30</v>
      </c>
      <c r="C445" s="50" t="s">
        <v>43</v>
      </c>
      <c r="D445" s="50" t="s">
        <v>792</v>
      </c>
      <c r="E445" s="50" t="s">
        <v>31</v>
      </c>
      <c r="F445" s="110">
        <f>Ведомственная!G647</f>
        <v>92.100000000000009</v>
      </c>
      <c r="G445" s="110">
        <f>Ведомственная!H647</f>
        <v>92.1</v>
      </c>
      <c r="H445" s="110">
        <f>Ведомственная!I647</f>
        <v>0.99999999999999989</v>
      </c>
    </row>
    <row r="446" spans="2:8" ht="25.5">
      <c r="B446" s="15" t="s">
        <v>789</v>
      </c>
      <c r="C446" s="50" t="s">
        <v>43</v>
      </c>
      <c r="D446" s="50" t="s">
        <v>793</v>
      </c>
      <c r="E446" s="50"/>
      <c r="F446" s="110">
        <f>SUM(F447:F448)</f>
        <v>3</v>
      </c>
      <c r="G446" s="110">
        <f t="shared" ref="G446:H446" si="193">SUM(G447:G448)</f>
        <v>3</v>
      </c>
      <c r="H446" s="110" t="e">
        <f t="shared" si="193"/>
        <v>#DIV/0!</v>
      </c>
    </row>
    <row r="447" spans="2:8">
      <c r="B447" s="15" t="s">
        <v>19</v>
      </c>
      <c r="C447" s="50" t="s">
        <v>43</v>
      </c>
      <c r="D447" s="50" t="s">
        <v>794</v>
      </c>
      <c r="E447" s="50" t="s">
        <v>20</v>
      </c>
      <c r="F447" s="110">
        <f>Ведомственная!G649</f>
        <v>3</v>
      </c>
      <c r="G447" s="110">
        <f>Ведомственная!H649</f>
        <v>3</v>
      </c>
      <c r="H447" s="110">
        <f>Ведомственная!I649</f>
        <v>1</v>
      </c>
    </row>
    <row r="448" spans="2:8" ht="25.5">
      <c r="B448" s="15" t="s">
        <v>30</v>
      </c>
      <c r="C448" s="50" t="s">
        <v>43</v>
      </c>
      <c r="D448" s="50" t="s">
        <v>794</v>
      </c>
      <c r="E448" s="50" t="s">
        <v>31</v>
      </c>
      <c r="F448" s="110">
        <f>Ведомственная!G650</f>
        <v>0</v>
      </c>
      <c r="G448" s="110">
        <f>Ведомственная!H650</f>
        <v>0</v>
      </c>
      <c r="H448" s="110" t="e">
        <f>Ведомственная!I650</f>
        <v>#DIV/0!</v>
      </c>
    </row>
    <row r="449" spans="2:8" ht="38.25">
      <c r="B449" s="15" t="s">
        <v>795</v>
      </c>
      <c r="C449" s="50" t="s">
        <v>43</v>
      </c>
      <c r="D449" s="50" t="s">
        <v>796</v>
      </c>
      <c r="E449" s="50"/>
      <c r="F449" s="110">
        <f>SUM(F450:F453)</f>
        <v>193.50000000000003</v>
      </c>
      <c r="G449" s="110">
        <f t="shared" ref="G449:H449" si="194">SUM(G450:G453)</f>
        <v>193.39999999999998</v>
      </c>
      <c r="H449" s="110">
        <f t="shared" si="194"/>
        <v>3.9907407407407405</v>
      </c>
    </row>
    <row r="450" spans="2:8">
      <c r="B450" s="15" t="s">
        <v>19</v>
      </c>
      <c r="C450" s="50" t="s">
        <v>43</v>
      </c>
      <c r="D450" s="50" t="s">
        <v>797</v>
      </c>
      <c r="E450" s="50" t="s">
        <v>20</v>
      </c>
      <c r="F450" s="110">
        <f>Ведомственная!G652</f>
        <v>88.200000000000017</v>
      </c>
      <c r="G450" s="110">
        <f>Ведомственная!H652</f>
        <v>88.2</v>
      </c>
      <c r="H450" s="110">
        <f>Ведомственная!I652</f>
        <v>0.99999999999999989</v>
      </c>
    </row>
    <row r="451" spans="2:8" ht="25.5">
      <c r="B451" s="15" t="s">
        <v>30</v>
      </c>
      <c r="C451" s="50" t="s">
        <v>43</v>
      </c>
      <c r="D451" s="50" t="s">
        <v>797</v>
      </c>
      <c r="E451" s="50" t="s">
        <v>31</v>
      </c>
      <c r="F451" s="110">
        <f>Ведомственная!G653</f>
        <v>5.0999999999999996</v>
      </c>
      <c r="G451" s="110">
        <f>Ведомственная!H653</f>
        <v>5.0999999999999996</v>
      </c>
      <c r="H451" s="110">
        <f>Ведомственная!I653</f>
        <v>1</v>
      </c>
    </row>
    <row r="452" spans="2:8" ht="25.5">
      <c r="B452" s="15" t="s">
        <v>504</v>
      </c>
      <c r="C452" s="50" t="s">
        <v>43</v>
      </c>
      <c r="D452" s="50" t="s">
        <v>798</v>
      </c>
      <c r="E452" s="50" t="s">
        <v>20</v>
      </c>
      <c r="F452" s="110">
        <f>Ведомственная!G654</f>
        <v>89.4</v>
      </c>
      <c r="G452" s="110">
        <f>Ведомственная!H654</f>
        <v>89.4</v>
      </c>
      <c r="H452" s="110">
        <f>Ведомственная!I654</f>
        <v>1</v>
      </c>
    </row>
    <row r="453" spans="2:8" ht="25.5">
      <c r="B453" s="15" t="s">
        <v>554</v>
      </c>
      <c r="C453" s="50" t="s">
        <v>43</v>
      </c>
      <c r="D453" s="50" t="s">
        <v>798</v>
      </c>
      <c r="E453" s="50" t="s">
        <v>31</v>
      </c>
      <c r="F453" s="110">
        <f>Ведомственная!G655</f>
        <v>10.8</v>
      </c>
      <c r="G453" s="110">
        <f>Ведомственная!H655</f>
        <v>10.7</v>
      </c>
      <c r="H453" s="110">
        <f>Ведомственная!I655</f>
        <v>0.99074074074074059</v>
      </c>
    </row>
    <row r="454" spans="2:8" ht="25.5">
      <c r="B454" s="62" t="s">
        <v>194</v>
      </c>
      <c r="C454" s="50" t="s">
        <v>43</v>
      </c>
      <c r="D454" s="50" t="s">
        <v>217</v>
      </c>
      <c r="E454" s="50"/>
      <c r="F454" s="110">
        <f>F456+F457+F455</f>
        <v>0</v>
      </c>
      <c r="G454" s="110">
        <f t="shared" ref="G454:H454" si="195">G456+G457+G455</f>
        <v>0</v>
      </c>
      <c r="H454" s="110" t="e">
        <f t="shared" si="195"/>
        <v>#DIV/0!</v>
      </c>
    </row>
    <row r="455" spans="2:8" ht="43.5" customHeight="1">
      <c r="B455" s="62" t="s">
        <v>17</v>
      </c>
      <c r="C455" s="50" t="s">
        <v>43</v>
      </c>
      <c r="D455" s="50" t="s">
        <v>217</v>
      </c>
      <c r="E455" s="50" t="s">
        <v>18</v>
      </c>
      <c r="F455" s="110">
        <f>Ведомственная!G657</f>
        <v>0</v>
      </c>
      <c r="G455" s="110">
        <f>Ведомственная!H657</f>
        <v>0</v>
      </c>
      <c r="H455" s="110" t="e">
        <f>Ведомственная!I657</f>
        <v>#DIV/0!</v>
      </c>
    </row>
    <row r="456" spans="2:8">
      <c r="B456" s="62" t="s">
        <v>19</v>
      </c>
      <c r="C456" s="50" t="s">
        <v>43</v>
      </c>
      <c r="D456" s="50" t="s">
        <v>217</v>
      </c>
      <c r="E456" s="50" t="s">
        <v>20</v>
      </c>
      <c r="F456" s="110">
        <f>Ведомственная!G658</f>
        <v>0</v>
      </c>
      <c r="G456" s="110">
        <f>Ведомственная!H658</f>
        <v>0</v>
      </c>
      <c r="H456" s="110" t="e">
        <f>Ведомственная!I658</f>
        <v>#DIV/0!</v>
      </c>
    </row>
    <row r="457" spans="2:8" ht="25.5">
      <c r="B457" s="62" t="s">
        <v>30</v>
      </c>
      <c r="C457" s="50" t="s">
        <v>43</v>
      </c>
      <c r="D457" s="50" t="s">
        <v>217</v>
      </c>
      <c r="E457" s="50" t="s">
        <v>31</v>
      </c>
      <c r="F457" s="110">
        <f>Ведомственная!G659</f>
        <v>0</v>
      </c>
      <c r="G457" s="110">
        <f>Ведомственная!H659</f>
        <v>0</v>
      </c>
      <c r="H457" s="110" t="e">
        <f>Ведомственная!I659</f>
        <v>#DIV/0!</v>
      </c>
    </row>
    <row r="458" spans="2:8" ht="38.25">
      <c r="B458" s="62" t="s">
        <v>618</v>
      </c>
      <c r="C458" s="50" t="s">
        <v>43</v>
      </c>
      <c r="D458" s="50" t="s">
        <v>617</v>
      </c>
      <c r="E458" s="50"/>
      <c r="F458" s="110">
        <f>F459+F460</f>
        <v>0</v>
      </c>
      <c r="G458" s="110">
        <f t="shared" ref="G458:H458" si="196">G459+G460</f>
        <v>0</v>
      </c>
      <c r="H458" s="110" t="e">
        <f t="shared" si="196"/>
        <v>#DIV/0!</v>
      </c>
    </row>
    <row r="459" spans="2:8">
      <c r="B459" s="62" t="s">
        <v>19</v>
      </c>
      <c r="C459" s="50" t="s">
        <v>43</v>
      </c>
      <c r="D459" s="50" t="s">
        <v>617</v>
      </c>
      <c r="E459" s="50" t="s">
        <v>20</v>
      </c>
      <c r="F459" s="110">
        <f>Ведомственная!G661</f>
        <v>0</v>
      </c>
      <c r="G459" s="110">
        <f>Ведомственная!H661</f>
        <v>0</v>
      </c>
      <c r="H459" s="110" t="e">
        <f>Ведомственная!I661</f>
        <v>#DIV/0!</v>
      </c>
    </row>
    <row r="460" spans="2:8" ht="25.5">
      <c r="B460" s="62" t="s">
        <v>30</v>
      </c>
      <c r="C460" s="50" t="s">
        <v>43</v>
      </c>
      <c r="D460" s="50" t="s">
        <v>617</v>
      </c>
      <c r="E460" s="50" t="s">
        <v>31</v>
      </c>
      <c r="F460" s="110">
        <f>Ведомственная!G662</f>
        <v>0</v>
      </c>
      <c r="G460" s="110">
        <f>Ведомственная!H662</f>
        <v>0</v>
      </c>
      <c r="H460" s="110" t="e">
        <f>Ведомственная!I662</f>
        <v>#DIV/0!</v>
      </c>
    </row>
    <row r="461" spans="2:8" ht="25.5">
      <c r="B461" s="62" t="s">
        <v>120</v>
      </c>
      <c r="C461" s="50" t="s">
        <v>43</v>
      </c>
      <c r="D461" s="50" t="s">
        <v>175</v>
      </c>
      <c r="E461" s="50"/>
      <c r="F461" s="110">
        <f>F462+F468+F471</f>
        <v>124869.5</v>
      </c>
      <c r="G461" s="110">
        <f t="shared" ref="G461:H461" si="197">G462+G468+G471</f>
        <v>117741.19999999998</v>
      </c>
      <c r="H461" s="110" t="e">
        <f t="shared" si="197"/>
        <v>#DIV/0!</v>
      </c>
    </row>
    <row r="462" spans="2:8" ht="51">
      <c r="B462" s="62" t="s">
        <v>17</v>
      </c>
      <c r="C462" s="50" t="s">
        <v>43</v>
      </c>
      <c r="D462" s="50" t="s">
        <v>175</v>
      </c>
      <c r="E462" s="50" t="s">
        <v>18</v>
      </c>
      <c r="F462" s="110">
        <f>F463+F465</f>
        <v>80495.5</v>
      </c>
      <c r="G462" s="110">
        <f t="shared" ref="G462:H462" si="198">G463+G465</f>
        <v>77130.899999999994</v>
      </c>
      <c r="H462" s="110" t="e">
        <f t="shared" si="198"/>
        <v>#DIV/0!</v>
      </c>
    </row>
    <row r="463" spans="2:8" ht="25.5">
      <c r="B463" s="62" t="s">
        <v>206</v>
      </c>
      <c r="C463" s="50" t="s">
        <v>43</v>
      </c>
      <c r="D463" s="50" t="s">
        <v>205</v>
      </c>
      <c r="E463" s="50"/>
      <c r="F463" s="110">
        <f>F464</f>
        <v>62670.9</v>
      </c>
      <c r="G463" s="110">
        <f t="shared" ref="G463:H463" si="199">G464</f>
        <v>61391</v>
      </c>
      <c r="H463" s="110">
        <f t="shared" si="199"/>
        <v>0.97957744343866127</v>
      </c>
    </row>
    <row r="464" spans="2:8" ht="51">
      <c r="B464" s="62" t="s">
        <v>17</v>
      </c>
      <c r="C464" s="50" t="s">
        <v>43</v>
      </c>
      <c r="D464" s="50" t="s">
        <v>205</v>
      </c>
      <c r="E464" s="50" t="s">
        <v>18</v>
      </c>
      <c r="F464" s="110">
        <f>Ведомственная!G666</f>
        <v>62670.9</v>
      </c>
      <c r="G464" s="110">
        <f>Ведомственная!H666</f>
        <v>61391</v>
      </c>
      <c r="H464" s="110">
        <f>Ведомственная!I666</f>
        <v>0.97957744343866127</v>
      </c>
    </row>
    <row r="465" spans="2:8" ht="25.5">
      <c r="B465" s="62" t="s">
        <v>208</v>
      </c>
      <c r="C465" s="50" t="s">
        <v>43</v>
      </c>
      <c r="D465" s="50" t="s">
        <v>207</v>
      </c>
      <c r="E465" s="50"/>
      <c r="F465" s="110">
        <f>F466+F467</f>
        <v>17824.599999999999</v>
      </c>
      <c r="G465" s="110">
        <f t="shared" ref="G465:H465" si="200">G466+G467</f>
        <v>15739.9</v>
      </c>
      <c r="H465" s="110" t="e">
        <f t="shared" si="200"/>
        <v>#DIV/0!</v>
      </c>
    </row>
    <row r="466" spans="2:8" ht="51">
      <c r="B466" s="62" t="s">
        <v>17</v>
      </c>
      <c r="C466" s="50" t="s">
        <v>43</v>
      </c>
      <c r="D466" s="50" t="s">
        <v>207</v>
      </c>
      <c r="E466" s="50" t="s">
        <v>18</v>
      </c>
      <c r="F466" s="110">
        <f>Ведомственная!G668</f>
        <v>17824.599999999999</v>
      </c>
      <c r="G466" s="110">
        <f>Ведомственная!H668</f>
        <v>15739.9</v>
      </c>
      <c r="H466" s="110">
        <f>Ведомственная!I668</f>
        <v>0.88304365876373103</v>
      </c>
    </row>
    <row r="467" spans="2:8" ht="25.5">
      <c r="B467" s="62" t="s">
        <v>566</v>
      </c>
      <c r="C467" s="50" t="s">
        <v>43</v>
      </c>
      <c r="D467" s="50" t="s">
        <v>207</v>
      </c>
      <c r="E467" s="50" t="s">
        <v>26</v>
      </c>
      <c r="F467" s="110">
        <f>Ведомственная!G669</f>
        <v>0</v>
      </c>
      <c r="G467" s="110">
        <f>Ведомственная!H669</f>
        <v>0</v>
      </c>
      <c r="H467" s="110" t="e">
        <f>Ведомственная!I669</f>
        <v>#DIV/0!</v>
      </c>
    </row>
    <row r="468" spans="2:8">
      <c r="B468" s="62" t="s">
        <v>19</v>
      </c>
      <c r="C468" s="50" t="s">
        <v>43</v>
      </c>
      <c r="D468" s="50" t="s">
        <v>175</v>
      </c>
      <c r="E468" s="50" t="s">
        <v>20</v>
      </c>
      <c r="F468" s="110">
        <f>F469</f>
        <v>2190.9</v>
      </c>
      <c r="G468" s="110">
        <f t="shared" ref="G468:H468" si="201">G469</f>
        <v>2069.9</v>
      </c>
      <c r="H468" s="110">
        <f t="shared" si="201"/>
        <v>0.94477155506869326</v>
      </c>
    </row>
    <row r="469" spans="2:8" ht="25.5">
      <c r="B469" s="62" t="s">
        <v>210</v>
      </c>
      <c r="C469" s="50" t="s">
        <v>43</v>
      </c>
      <c r="D469" s="50" t="s">
        <v>209</v>
      </c>
      <c r="E469" s="50"/>
      <c r="F469" s="110">
        <f t="shared" ref="F469:H469" si="202">F470</f>
        <v>2190.9</v>
      </c>
      <c r="G469" s="110">
        <f t="shared" si="202"/>
        <v>2069.9</v>
      </c>
      <c r="H469" s="110">
        <f t="shared" si="202"/>
        <v>0.94477155506869326</v>
      </c>
    </row>
    <row r="470" spans="2:8">
      <c r="B470" s="62" t="s">
        <v>19</v>
      </c>
      <c r="C470" s="50" t="s">
        <v>43</v>
      </c>
      <c r="D470" s="50" t="s">
        <v>209</v>
      </c>
      <c r="E470" s="50" t="s">
        <v>20</v>
      </c>
      <c r="F470" s="110">
        <f>Ведомственная!G672</f>
        <v>2190.9</v>
      </c>
      <c r="G470" s="110">
        <f>Ведомственная!H672</f>
        <v>2069.9</v>
      </c>
      <c r="H470" s="110">
        <f>Ведомственная!I672</f>
        <v>0.94477155506869326</v>
      </c>
    </row>
    <row r="471" spans="2:8" ht="25.5">
      <c r="B471" s="62" t="s">
        <v>30</v>
      </c>
      <c r="C471" s="50" t="s">
        <v>43</v>
      </c>
      <c r="D471" s="50" t="s">
        <v>175</v>
      </c>
      <c r="E471" s="50" t="s">
        <v>31</v>
      </c>
      <c r="F471" s="110">
        <f>F472+F474+F476</f>
        <v>42183.100000000006</v>
      </c>
      <c r="G471" s="110">
        <f>G472+G474+G476</f>
        <v>38540.400000000001</v>
      </c>
      <c r="H471" s="110">
        <f>H472+H474+H476</f>
        <v>2.8126827903299576</v>
      </c>
    </row>
    <row r="472" spans="2:8" ht="25.5">
      <c r="B472" s="62" t="s">
        <v>206</v>
      </c>
      <c r="C472" s="50" t="s">
        <v>43</v>
      </c>
      <c r="D472" s="50" t="s">
        <v>205</v>
      </c>
      <c r="E472" s="50"/>
      <c r="F472" s="110">
        <f>F473</f>
        <v>31335.4</v>
      </c>
      <c r="G472" s="110">
        <f t="shared" ref="G472:H472" si="203">G473</f>
        <v>28492.9</v>
      </c>
      <c r="H472" s="110">
        <f t="shared" si="203"/>
        <v>0.9092878980322574</v>
      </c>
    </row>
    <row r="473" spans="2:8" ht="25.5">
      <c r="B473" s="62" t="s">
        <v>30</v>
      </c>
      <c r="C473" s="50" t="s">
        <v>43</v>
      </c>
      <c r="D473" s="50" t="s">
        <v>205</v>
      </c>
      <c r="E473" s="50" t="s">
        <v>31</v>
      </c>
      <c r="F473" s="110">
        <f>Ведомственная!G675</f>
        <v>31335.4</v>
      </c>
      <c r="G473" s="110">
        <f>Ведомственная!H675</f>
        <v>28492.9</v>
      </c>
      <c r="H473" s="110">
        <f>Ведомственная!I675</f>
        <v>0.9092878980322574</v>
      </c>
    </row>
    <row r="474" spans="2:8" ht="25.5">
      <c r="B474" s="62" t="s">
        <v>208</v>
      </c>
      <c r="C474" s="50" t="s">
        <v>43</v>
      </c>
      <c r="D474" s="50" t="s">
        <v>207</v>
      </c>
      <c r="E474" s="50"/>
      <c r="F474" s="110">
        <f>F475</f>
        <v>8297.2000000000007</v>
      </c>
      <c r="G474" s="110">
        <f t="shared" ref="G474:H474" si="204">G475</f>
        <v>7497.6</v>
      </c>
      <c r="H474" s="110">
        <f t="shared" si="204"/>
        <v>0.90363014028829003</v>
      </c>
    </row>
    <row r="475" spans="2:8" ht="25.5">
      <c r="B475" s="62" t="s">
        <v>30</v>
      </c>
      <c r="C475" s="50" t="s">
        <v>43</v>
      </c>
      <c r="D475" s="50" t="s">
        <v>207</v>
      </c>
      <c r="E475" s="50" t="s">
        <v>31</v>
      </c>
      <c r="F475" s="110">
        <f>Ведомственная!G677</f>
        <v>8297.2000000000007</v>
      </c>
      <c r="G475" s="110">
        <f>Ведомственная!H677</f>
        <v>7497.6</v>
      </c>
      <c r="H475" s="110">
        <f>Ведомственная!I677</f>
        <v>0.90363014028829003</v>
      </c>
    </row>
    <row r="476" spans="2:8" ht="25.5">
      <c r="B476" s="62" t="s">
        <v>210</v>
      </c>
      <c r="C476" s="50" t="s">
        <v>43</v>
      </c>
      <c r="D476" s="50" t="s">
        <v>209</v>
      </c>
      <c r="E476" s="50"/>
      <c r="F476" s="110">
        <f>F477</f>
        <v>2550.4999999999995</v>
      </c>
      <c r="G476" s="110">
        <f t="shared" ref="G476:H476" si="205">G477</f>
        <v>2549.9</v>
      </c>
      <c r="H476" s="110">
        <f t="shared" si="205"/>
        <v>0.99976475200941017</v>
      </c>
    </row>
    <row r="477" spans="2:8" ht="25.5">
      <c r="B477" s="62" t="s">
        <v>30</v>
      </c>
      <c r="C477" s="50" t="s">
        <v>43</v>
      </c>
      <c r="D477" s="50" t="s">
        <v>209</v>
      </c>
      <c r="E477" s="50" t="s">
        <v>31</v>
      </c>
      <c r="F477" s="110">
        <f>Ведомственная!G679</f>
        <v>2550.4999999999995</v>
      </c>
      <c r="G477" s="110">
        <f>Ведомственная!H679</f>
        <v>2549.9</v>
      </c>
      <c r="H477" s="110">
        <f>Ведомственная!I679</f>
        <v>0.99976475200941017</v>
      </c>
    </row>
    <row r="478" spans="2:8" ht="25.5">
      <c r="B478" s="62" t="s">
        <v>121</v>
      </c>
      <c r="C478" s="50" t="s">
        <v>43</v>
      </c>
      <c r="D478" s="50" t="s">
        <v>176</v>
      </c>
      <c r="E478" s="50"/>
      <c r="F478" s="110">
        <f>F479+F480</f>
        <v>0</v>
      </c>
      <c r="G478" s="110">
        <f t="shared" ref="G478:H478" si="206">G479+G480</f>
        <v>0</v>
      </c>
      <c r="H478" s="110" t="e">
        <f t="shared" si="206"/>
        <v>#DIV/0!</v>
      </c>
    </row>
    <row r="479" spans="2:8">
      <c r="B479" s="62" t="s">
        <v>19</v>
      </c>
      <c r="C479" s="50" t="s">
        <v>43</v>
      </c>
      <c r="D479" s="50" t="s">
        <v>176</v>
      </c>
      <c r="E479" s="50" t="s">
        <v>20</v>
      </c>
      <c r="F479" s="110">
        <f>Ведомственная!G681</f>
        <v>0</v>
      </c>
      <c r="G479" s="110">
        <f>Ведомственная!H681</f>
        <v>0</v>
      </c>
      <c r="H479" s="110" t="e">
        <f>Ведомственная!I681</f>
        <v>#DIV/0!</v>
      </c>
    </row>
    <row r="480" spans="2:8" ht="25.5">
      <c r="B480" s="62" t="s">
        <v>30</v>
      </c>
      <c r="C480" s="50" t="s">
        <v>43</v>
      </c>
      <c r="D480" s="50" t="s">
        <v>176</v>
      </c>
      <c r="E480" s="50" t="s">
        <v>31</v>
      </c>
      <c r="F480" s="110">
        <f>Ведомственная!G682</f>
        <v>0</v>
      </c>
      <c r="G480" s="110">
        <f>Ведомственная!H682</f>
        <v>0</v>
      </c>
      <c r="H480" s="110" t="e">
        <f>Ведомственная!I682</f>
        <v>#DIV/0!</v>
      </c>
    </row>
    <row r="481" spans="2:8">
      <c r="B481" s="62" t="s">
        <v>100</v>
      </c>
      <c r="C481" s="50" t="s">
        <v>43</v>
      </c>
      <c r="D481" s="50" t="s">
        <v>151</v>
      </c>
      <c r="E481" s="50"/>
      <c r="F481" s="110">
        <f>F482</f>
        <v>596.1</v>
      </c>
      <c r="G481" s="110">
        <f t="shared" ref="G481:H481" si="207">G482</f>
        <v>468.5</v>
      </c>
      <c r="H481" s="110">
        <f t="shared" si="207"/>
        <v>0.78594195604764294</v>
      </c>
    </row>
    <row r="482" spans="2:8">
      <c r="B482" s="62" t="s">
        <v>21</v>
      </c>
      <c r="C482" s="50" t="s">
        <v>43</v>
      </c>
      <c r="D482" s="50" t="s">
        <v>151</v>
      </c>
      <c r="E482" s="50" t="s">
        <v>22</v>
      </c>
      <c r="F482" s="110">
        <f>Ведомственная!G687</f>
        <v>596.1</v>
      </c>
      <c r="G482" s="110">
        <f>Ведомственная!H687</f>
        <v>468.5</v>
      </c>
      <c r="H482" s="110">
        <f>Ведомственная!I687</f>
        <v>0.78594195604764294</v>
      </c>
    </row>
    <row r="483" spans="2:8">
      <c r="B483" s="62" t="s">
        <v>385</v>
      </c>
      <c r="C483" s="50" t="s">
        <v>43</v>
      </c>
      <c r="D483" s="50" t="s">
        <v>386</v>
      </c>
      <c r="E483" s="50"/>
      <c r="F483" s="110">
        <f>F484</f>
        <v>50</v>
      </c>
      <c r="G483" s="110">
        <f t="shared" ref="G483:H483" si="208">G484</f>
        <v>50</v>
      </c>
      <c r="H483" s="110">
        <f t="shared" si="208"/>
        <v>1</v>
      </c>
    </row>
    <row r="484" spans="2:8" ht="14.25" customHeight="1">
      <c r="B484" s="62" t="s">
        <v>21</v>
      </c>
      <c r="C484" s="50" t="s">
        <v>43</v>
      </c>
      <c r="D484" s="50" t="s">
        <v>386</v>
      </c>
      <c r="E484" s="50" t="s">
        <v>22</v>
      </c>
      <c r="F484" s="110">
        <f>Ведомственная!G689</f>
        <v>50</v>
      </c>
      <c r="G484" s="110">
        <f>Ведомственная!H689</f>
        <v>50</v>
      </c>
      <c r="H484" s="110">
        <f>Ведомственная!I689</f>
        <v>1</v>
      </c>
    </row>
    <row r="485" spans="2:8" ht="25.5">
      <c r="B485" s="15" t="s">
        <v>781</v>
      </c>
      <c r="C485" s="50" t="s">
        <v>43</v>
      </c>
      <c r="D485" s="50" t="s">
        <v>782</v>
      </c>
      <c r="E485" s="50"/>
      <c r="F485" s="110">
        <f>F486+F487</f>
        <v>0</v>
      </c>
      <c r="G485" s="110">
        <f t="shared" ref="G485:H485" si="209">G486+G487</f>
        <v>0</v>
      </c>
      <c r="H485" s="110" t="e">
        <f t="shared" si="209"/>
        <v>#DIV/0!</v>
      </c>
    </row>
    <row r="486" spans="2:8" ht="25.5">
      <c r="B486" s="15" t="s">
        <v>509</v>
      </c>
      <c r="C486" s="50" t="s">
        <v>43</v>
      </c>
      <c r="D486" s="50" t="s">
        <v>782</v>
      </c>
      <c r="E486" s="50" t="s">
        <v>20</v>
      </c>
      <c r="F486" s="110">
        <f>Ведомственная!G691</f>
        <v>0</v>
      </c>
      <c r="G486" s="110">
        <f>Ведомственная!H691</f>
        <v>0</v>
      </c>
      <c r="H486" s="110" t="e">
        <f>Ведомственная!I691</f>
        <v>#DIV/0!</v>
      </c>
    </row>
    <row r="487" spans="2:8" ht="25.5">
      <c r="B487" s="15" t="s">
        <v>504</v>
      </c>
      <c r="C487" s="50" t="s">
        <v>43</v>
      </c>
      <c r="D487" s="50" t="s">
        <v>782</v>
      </c>
      <c r="E487" s="50" t="s">
        <v>20</v>
      </c>
      <c r="F487" s="110">
        <f>Ведомственная!G692</f>
        <v>0</v>
      </c>
      <c r="G487" s="110">
        <f>Ведомственная!H692</f>
        <v>0</v>
      </c>
      <c r="H487" s="110" t="e">
        <f>Ведомственная!I692</f>
        <v>#DIV/0!</v>
      </c>
    </row>
    <row r="488" spans="2:8" ht="25.5">
      <c r="B488" s="15" t="s">
        <v>783</v>
      </c>
      <c r="C488" s="50" t="s">
        <v>43</v>
      </c>
      <c r="D488" s="50" t="s">
        <v>785</v>
      </c>
      <c r="E488" s="50"/>
      <c r="F488" s="110">
        <f>F489+F490</f>
        <v>0</v>
      </c>
      <c r="G488" s="110">
        <f t="shared" ref="G488:H488" si="210">G489+G490</f>
        <v>0</v>
      </c>
      <c r="H488" s="110" t="e">
        <f t="shared" si="210"/>
        <v>#DIV/0!</v>
      </c>
    </row>
    <row r="489" spans="2:8" ht="25.5">
      <c r="B489" s="15" t="s">
        <v>509</v>
      </c>
      <c r="C489" s="50" t="s">
        <v>43</v>
      </c>
      <c r="D489" s="50" t="s">
        <v>785</v>
      </c>
      <c r="E489" s="50" t="s">
        <v>20</v>
      </c>
      <c r="F489" s="110">
        <f>Ведомственная!G694</f>
        <v>0</v>
      </c>
      <c r="G489" s="110">
        <f>Ведомственная!H694</f>
        <v>0</v>
      </c>
      <c r="H489" s="110" t="e">
        <f>Ведомственная!I694</f>
        <v>#DIV/0!</v>
      </c>
    </row>
    <row r="490" spans="2:8" ht="25.5">
      <c r="B490" s="15" t="s">
        <v>504</v>
      </c>
      <c r="C490" s="50" t="s">
        <v>43</v>
      </c>
      <c r="D490" s="50" t="s">
        <v>785</v>
      </c>
      <c r="E490" s="50" t="s">
        <v>20</v>
      </c>
      <c r="F490" s="110">
        <f>Ведомственная!G695</f>
        <v>0</v>
      </c>
      <c r="G490" s="110">
        <f>Ведомственная!H695</f>
        <v>0</v>
      </c>
      <c r="H490" s="110" t="e">
        <f>Ведомственная!I695</f>
        <v>#DIV/0!</v>
      </c>
    </row>
    <row r="491" spans="2:8" ht="25.5">
      <c r="B491" s="15" t="s">
        <v>784</v>
      </c>
      <c r="C491" s="50" t="s">
        <v>43</v>
      </c>
      <c r="D491" s="50" t="s">
        <v>139</v>
      </c>
      <c r="E491" s="50"/>
      <c r="F491" s="110">
        <f>F492+F493</f>
        <v>0</v>
      </c>
      <c r="G491" s="110">
        <f t="shared" ref="G491:H491" si="211">G492+G493</f>
        <v>0</v>
      </c>
      <c r="H491" s="110" t="e">
        <f t="shared" si="211"/>
        <v>#DIV/0!</v>
      </c>
    </row>
    <row r="492" spans="2:8">
      <c r="B492" s="15" t="s">
        <v>19</v>
      </c>
      <c r="C492" s="50" t="s">
        <v>43</v>
      </c>
      <c r="D492" s="50" t="s">
        <v>786</v>
      </c>
      <c r="E492" s="50" t="s">
        <v>20</v>
      </c>
      <c r="F492" s="110">
        <f>Ведомственная!G697</f>
        <v>0</v>
      </c>
      <c r="G492" s="110">
        <f>Ведомственная!H697</f>
        <v>0</v>
      </c>
      <c r="H492" s="110" t="e">
        <f>Ведомственная!I697</f>
        <v>#DIV/0!</v>
      </c>
    </row>
    <row r="493" spans="2:8" ht="25.5">
      <c r="B493" s="15" t="s">
        <v>509</v>
      </c>
      <c r="C493" s="50" t="s">
        <v>43</v>
      </c>
      <c r="D493" s="50" t="s">
        <v>786</v>
      </c>
      <c r="E493" s="50" t="s">
        <v>20</v>
      </c>
      <c r="F493" s="110">
        <f>Ведомственная!G698</f>
        <v>0</v>
      </c>
      <c r="G493" s="110">
        <f>Ведомственная!H698</f>
        <v>0</v>
      </c>
      <c r="H493" s="110" t="e">
        <f>Ведомственная!I698</f>
        <v>#DIV/0!</v>
      </c>
    </row>
    <row r="494" spans="2:8" ht="38.25">
      <c r="B494" s="15" t="s">
        <v>610</v>
      </c>
      <c r="C494" s="50" t="s">
        <v>43</v>
      </c>
      <c r="D494" s="50" t="s">
        <v>139</v>
      </c>
      <c r="E494" s="50"/>
      <c r="F494" s="110">
        <f>F495+F496</f>
        <v>0</v>
      </c>
      <c r="G494" s="110">
        <f t="shared" ref="G494:H494" si="212">G495+G496</f>
        <v>0</v>
      </c>
      <c r="H494" s="110" t="e">
        <f t="shared" si="212"/>
        <v>#DIV/0!</v>
      </c>
    </row>
    <row r="495" spans="2:8" ht="51">
      <c r="B495" s="15" t="s">
        <v>678</v>
      </c>
      <c r="C495" s="50" t="s">
        <v>43</v>
      </c>
      <c r="D495" s="50" t="s">
        <v>595</v>
      </c>
      <c r="E495" s="50" t="s">
        <v>18</v>
      </c>
      <c r="F495" s="110">
        <f>Ведомственная!G700</f>
        <v>0</v>
      </c>
      <c r="G495" s="110">
        <f>Ведомственная!H700</f>
        <v>0</v>
      </c>
      <c r="H495" s="110" t="e">
        <f>Ведомственная!I700</f>
        <v>#DIV/0!</v>
      </c>
    </row>
    <row r="496" spans="2:8" ht="25.5">
      <c r="B496" s="15" t="s">
        <v>559</v>
      </c>
      <c r="C496" s="50" t="s">
        <v>43</v>
      </c>
      <c r="D496" s="50" t="s">
        <v>595</v>
      </c>
      <c r="E496" s="50" t="s">
        <v>31</v>
      </c>
      <c r="F496" s="110">
        <f>Ведомственная!G701</f>
        <v>0</v>
      </c>
      <c r="G496" s="110">
        <f>Ведомственная!H701</f>
        <v>0</v>
      </c>
      <c r="H496" s="110" t="e">
        <f>Ведомственная!I701</f>
        <v>#DIV/0!</v>
      </c>
    </row>
    <row r="497" spans="2:14">
      <c r="B497" s="15" t="s">
        <v>626</v>
      </c>
      <c r="C497" s="50" t="s">
        <v>43</v>
      </c>
      <c r="D497" s="50" t="s">
        <v>139</v>
      </c>
      <c r="E497" s="50"/>
      <c r="F497" s="110">
        <f>F498+F499+F500+F501</f>
        <v>0</v>
      </c>
      <c r="G497" s="110">
        <f t="shared" ref="G497:H497" si="213">G498+G499+G500+G501</f>
        <v>0</v>
      </c>
      <c r="H497" s="110" t="e">
        <f t="shared" si="213"/>
        <v>#DIV/0!</v>
      </c>
    </row>
    <row r="498" spans="2:14" ht="25.5">
      <c r="B498" s="15" t="s">
        <v>509</v>
      </c>
      <c r="C498" s="50" t="s">
        <v>43</v>
      </c>
      <c r="D498" s="50" t="s">
        <v>787</v>
      </c>
      <c r="E498" s="50" t="s">
        <v>20</v>
      </c>
      <c r="F498" s="110">
        <f>Ведомственная!G703</f>
        <v>0</v>
      </c>
      <c r="G498" s="110">
        <f>Ведомственная!H703</f>
        <v>0</v>
      </c>
      <c r="H498" s="110" t="e">
        <f>Ведомственная!I703</f>
        <v>#DIV/0!</v>
      </c>
    </row>
    <row r="499" spans="2:14" ht="25.5">
      <c r="B499" s="15" t="s">
        <v>504</v>
      </c>
      <c r="C499" s="50" t="s">
        <v>43</v>
      </c>
      <c r="D499" s="50" t="s">
        <v>787</v>
      </c>
      <c r="E499" s="50" t="s">
        <v>20</v>
      </c>
      <c r="F499" s="110">
        <v>0</v>
      </c>
      <c r="G499" s="110">
        <v>0</v>
      </c>
      <c r="H499" s="110" t="e">
        <f>Ведомственная!I704</f>
        <v>#DIV/0!</v>
      </c>
    </row>
    <row r="500" spans="2:14" ht="25.5">
      <c r="B500" s="15" t="s">
        <v>559</v>
      </c>
      <c r="C500" s="50" t="s">
        <v>43</v>
      </c>
      <c r="D500" s="50" t="s">
        <v>787</v>
      </c>
      <c r="E500" s="50" t="s">
        <v>31</v>
      </c>
      <c r="F500" s="110">
        <f>Ведомственная!G705</f>
        <v>0</v>
      </c>
      <c r="G500" s="110">
        <f>Ведомственная!H705</f>
        <v>0</v>
      </c>
      <c r="H500" s="110" t="e">
        <f>Ведомственная!I705</f>
        <v>#DIV/0!</v>
      </c>
    </row>
    <row r="501" spans="2:14" ht="25.5">
      <c r="B501" s="15" t="s">
        <v>554</v>
      </c>
      <c r="C501" s="50" t="s">
        <v>43</v>
      </c>
      <c r="D501" s="50" t="s">
        <v>787</v>
      </c>
      <c r="E501" s="50" t="s">
        <v>31</v>
      </c>
      <c r="F501" s="110">
        <v>0</v>
      </c>
      <c r="G501" s="110">
        <v>0</v>
      </c>
      <c r="H501" s="110" t="e">
        <f>Ведомственная!I706</f>
        <v>#DIV/0!</v>
      </c>
    </row>
    <row r="502" spans="2:14" ht="25.5">
      <c r="B502" s="15" t="s">
        <v>627</v>
      </c>
      <c r="C502" s="50" t="s">
        <v>43</v>
      </c>
      <c r="D502" s="50" t="s">
        <v>139</v>
      </c>
      <c r="E502" s="50"/>
      <c r="F502" s="110">
        <f>F503+F504+F505+F506</f>
        <v>0</v>
      </c>
      <c r="G502" s="110">
        <f>G503+G504+G505+G506</f>
        <v>0</v>
      </c>
      <c r="H502" s="110" t="e">
        <f>H503+H504+H505+H506</f>
        <v>#DIV/0!</v>
      </c>
    </row>
    <row r="503" spans="2:14" ht="25.5">
      <c r="B503" s="15" t="s">
        <v>509</v>
      </c>
      <c r="C503" s="50" t="s">
        <v>43</v>
      </c>
      <c r="D503" s="50" t="s">
        <v>176</v>
      </c>
      <c r="E503" s="50" t="s">
        <v>20</v>
      </c>
      <c r="F503" s="110">
        <f>Ведомственная!G708</f>
        <v>0</v>
      </c>
      <c r="G503" s="110">
        <f>Ведомственная!H708</f>
        <v>0</v>
      </c>
      <c r="H503" s="110" t="e">
        <f>Ведомственная!I708</f>
        <v>#DIV/0!</v>
      </c>
    </row>
    <row r="504" spans="2:14" ht="25.5">
      <c r="B504" s="15" t="s">
        <v>504</v>
      </c>
      <c r="C504" s="50" t="s">
        <v>43</v>
      </c>
      <c r="D504" s="50" t="s">
        <v>176</v>
      </c>
      <c r="E504" s="50" t="s">
        <v>20</v>
      </c>
      <c r="F504" s="110">
        <v>0</v>
      </c>
      <c r="G504" s="110">
        <v>0</v>
      </c>
      <c r="H504" s="110" t="e">
        <f>Ведомственная!I709</f>
        <v>#DIV/0!</v>
      </c>
    </row>
    <row r="505" spans="2:14" ht="25.5">
      <c r="B505" s="15" t="s">
        <v>559</v>
      </c>
      <c r="C505" s="50" t="s">
        <v>43</v>
      </c>
      <c r="D505" s="50" t="s">
        <v>176</v>
      </c>
      <c r="E505" s="50" t="s">
        <v>31</v>
      </c>
      <c r="F505" s="110">
        <f>Ведомственная!G710</f>
        <v>0</v>
      </c>
      <c r="G505" s="110">
        <f>Ведомственная!H710</f>
        <v>0</v>
      </c>
      <c r="H505" s="110" t="e">
        <f>Ведомственная!I710</f>
        <v>#DIV/0!</v>
      </c>
    </row>
    <row r="506" spans="2:14" ht="25.5">
      <c r="B506" s="15" t="s">
        <v>554</v>
      </c>
      <c r="C506" s="50" t="s">
        <v>43</v>
      </c>
      <c r="D506" s="50" t="s">
        <v>176</v>
      </c>
      <c r="E506" s="50" t="s">
        <v>31</v>
      </c>
      <c r="F506" s="110">
        <v>0</v>
      </c>
      <c r="G506" s="110">
        <v>0</v>
      </c>
      <c r="H506" s="110" t="e">
        <f>Ведомственная!I711</f>
        <v>#DIV/0!</v>
      </c>
    </row>
    <row r="507" spans="2:14">
      <c r="B507" s="74" t="s">
        <v>203</v>
      </c>
      <c r="C507" s="11" t="s">
        <v>204</v>
      </c>
      <c r="D507" s="50"/>
      <c r="E507" s="50"/>
      <c r="F507" s="108">
        <f>F521+F526+F508+F515</f>
        <v>20901.5</v>
      </c>
      <c r="G507" s="108">
        <f t="shared" ref="G507:H507" si="214">G521+G526+G508+G515</f>
        <v>19647.3</v>
      </c>
      <c r="H507" s="108" t="e">
        <f t="shared" si="214"/>
        <v>#DIV/0!</v>
      </c>
      <c r="I507" s="32">
        <f>Ведомственная!G295+Ведомственная!G382+Ведомственная!G712</f>
        <v>20901.5</v>
      </c>
      <c r="J507" s="32">
        <f>Ведомственная!H295+Ведомственная!H382+Ведомственная!H712</f>
        <v>19647.3</v>
      </c>
      <c r="K507" s="32">
        <f>Ведомственная!I295+Ведомственная!I382+Ведомственная!I712</f>
        <v>2.8269819764686268</v>
      </c>
      <c r="L507" s="32">
        <f>I507-F507</f>
        <v>0</v>
      </c>
      <c r="M507" s="32">
        <f t="shared" ref="M507" si="215">J507-G507</f>
        <v>0</v>
      </c>
      <c r="N507" s="32" t="e">
        <f t="shared" ref="N507" si="216">K507-H507</f>
        <v>#DIV/0!</v>
      </c>
    </row>
    <row r="508" spans="2:14" s="6" customFormat="1" ht="51">
      <c r="B508" s="74" t="s">
        <v>493</v>
      </c>
      <c r="C508" s="11" t="s">
        <v>204</v>
      </c>
      <c r="D508" s="11" t="s">
        <v>346</v>
      </c>
      <c r="E508" s="11"/>
      <c r="F508" s="108">
        <f>F509+F511</f>
        <v>0</v>
      </c>
      <c r="G508" s="108">
        <f t="shared" ref="G508:H508" si="217">G509+G511</f>
        <v>0</v>
      </c>
      <c r="H508" s="108" t="e">
        <f t="shared" si="217"/>
        <v>#DIV/0!</v>
      </c>
    </row>
    <row r="509" spans="2:14" s="6" customFormat="1" hidden="1">
      <c r="B509" s="62" t="s">
        <v>362</v>
      </c>
      <c r="C509" s="50" t="s">
        <v>204</v>
      </c>
      <c r="D509" s="50" t="s">
        <v>357</v>
      </c>
      <c r="E509" s="50"/>
      <c r="F509" s="110">
        <f>F510</f>
        <v>0</v>
      </c>
      <c r="G509" s="110">
        <f t="shared" ref="G509:H509" si="218">G510</f>
        <v>0</v>
      </c>
      <c r="H509" s="110" t="e">
        <f t="shared" si="218"/>
        <v>#DIV/0!</v>
      </c>
    </row>
    <row r="510" spans="2:14" s="6" customFormat="1" hidden="1">
      <c r="B510" s="62" t="s">
        <v>19</v>
      </c>
      <c r="C510" s="50" t="s">
        <v>204</v>
      </c>
      <c r="D510" s="50" t="s">
        <v>354</v>
      </c>
      <c r="E510" s="50" t="s">
        <v>20</v>
      </c>
      <c r="F510" s="110">
        <f>Ведомственная!G715</f>
        <v>0</v>
      </c>
      <c r="G510" s="110">
        <f>Ведомственная!H715</f>
        <v>0</v>
      </c>
      <c r="H510" s="110" t="e">
        <f>Ведомственная!I715</f>
        <v>#DIV/0!</v>
      </c>
    </row>
    <row r="511" spans="2:14" s="6" customFormat="1">
      <c r="B511" s="62" t="s">
        <v>362</v>
      </c>
      <c r="C511" s="50" t="s">
        <v>204</v>
      </c>
      <c r="D511" s="50" t="s">
        <v>358</v>
      </c>
      <c r="E511" s="50"/>
      <c r="F511" s="110">
        <f>F512+F513+F514</f>
        <v>0</v>
      </c>
      <c r="G511" s="110">
        <f t="shared" ref="G511:H511" si="219">G512+G513+G514</f>
        <v>0</v>
      </c>
      <c r="H511" s="110" t="e">
        <f t="shared" si="219"/>
        <v>#DIV/0!</v>
      </c>
    </row>
    <row r="512" spans="2:14" s="6" customFormat="1" ht="25.5">
      <c r="B512" s="62" t="s">
        <v>509</v>
      </c>
      <c r="C512" s="50" t="s">
        <v>204</v>
      </c>
      <c r="D512" s="50" t="s">
        <v>552</v>
      </c>
      <c r="E512" s="50" t="s">
        <v>20</v>
      </c>
      <c r="F512" s="110">
        <f>Ведомственная!G718</f>
        <v>0</v>
      </c>
      <c r="G512" s="110">
        <f>Ведомственная!H718</f>
        <v>0</v>
      </c>
      <c r="H512" s="110" t="e">
        <f>Ведомственная!I718</f>
        <v>#DIV/0!</v>
      </c>
    </row>
    <row r="513" spans="2:8" s="6" customFormat="1" ht="25.5">
      <c r="B513" s="62" t="s">
        <v>561</v>
      </c>
      <c r="C513" s="50" t="s">
        <v>204</v>
      </c>
      <c r="D513" s="50" t="s">
        <v>552</v>
      </c>
      <c r="E513" s="50" t="s">
        <v>20</v>
      </c>
      <c r="F513" s="110">
        <f>Ведомственная!G719</f>
        <v>0</v>
      </c>
      <c r="G513" s="110">
        <f>Ведомственная!H719</f>
        <v>0</v>
      </c>
      <c r="H513" s="110" t="e">
        <f>Ведомственная!I719</f>
        <v>#DIV/0!</v>
      </c>
    </row>
    <row r="514" spans="2:8" s="6" customFormat="1">
      <c r="B514" s="62" t="s">
        <v>19</v>
      </c>
      <c r="C514" s="50" t="s">
        <v>204</v>
      </c>
      <c r="D514" s="50" t="s">
        <v>353</v>
      </c>
      <c r="E514" s="50" t="s">
        <v>20</v>
      </c>
      <c r="F514" s="110">
        <f>Ведомственная!G720</f>
        <v>0</v>
      </c>
      <c r="G514" s="110">
        <f>Ведомственная!H720</f>
        <v>0</v>
      </c>
      <c r="H514" s="110" t="e">
        <f>Ведомственная!I720</f>
        <v>#DIV/0!</v>
      </c>
    </row>
    <row r="515" spans="2:8" s="6" customFormat="1">
      <c r="B515" s="101" t="s">
        <v>731</v>
      </c>
      <c r="C515" s="11" t="s">
        <v>204</v>
      </c>
      <c r="D515" s="11" t="s">
        <v>526</v>
      </c>
      <c r="E515" s="11"/>
      <c r="F515" s="108">
        <f>SUM(F516:F520)</f>
        <v>6575.7</v>
      </c>
      <c r="G515" s="108">
        <f t="shared" ref="G515:H515" si="220">SUM(G516:G520)</f>
        <v>5977.8</v>
      </c>
      <c r="H515" s="108" t="e">
        <f t="shared" si="220"/>
        <v>#DIV/0!</v>
      </c>
    </row>
    <row r="516" spans="2:8" s="6" customFormat="1" ht="36" customHeight="1">
      <c r="B516" s="62" t="s">
        <v>737</v>
      </c>
      <c r="C516" s="50" t="s">
        <v>204</v>
      </c>
      <c r="D516" s="50" t="s">
        <v>658</v>
      </c>
      <c r="E516" s="50" t="s">
        <v>265</v>
      </c>
      <c r="F516" s="110">
        <f>Ведомственная!G297</f>
        <v>0</v>
      </c>
      <c r="G516" s="110">
        <f>Ведомственная!H297</f>
        <v>0</v>
      </c>
      <c r="H516" s="110" t="e">
        <f>Ведомственная!I297</f>
        <v>#DIV/0!</v>
      </c>
    </row>
    <row r="517" spans="2:8" s="6" customFormat="1" ht="63.75">
      <c r="B517" s="206" t="s">
        <v>833</v>
      </c>
      <c r="C517" s="50" t="s">
        <v>204</v>
      </c>
      <c r="D517" s="50" t="s">
        <v>834</v>
      </c>
      <c r="E517" s="50" t="s">
        <v>265</v>
      </c>
      <c r="F517" s="110">
        <f>Ведомственная!G298</f>
        <v>3338.2</v>
      </c>
      <c r="G517" s="110">
        <f>Ведомственная!H298</f>
        <v>2740.4</v>
      </c>
      <c r="H517" s="110">
        <f>Ведомственная!I298</f>
        <v>0.82092145467617283</v>
      </c>
    </row>
    <row r="518" spans="2:8" s="6" customFormat="1" ht="25.5">
      <c r="B518" s="62" t="s">
        <v>742</v>
      </c>
      <c r="C518" s="50" t="s">
        <v>204</v>
      </c>
      <c r="D518" s="50" t="s">
        <v>663</v>
      </c>
      <c r="E518" s="50" t="s">
        <v>265</v>
      </c>
      <c r="F518" s="110">
        <f>Ведомственная!G299</f>
        <v>0</v>
      </c>
      <c r="G518" s="110">
        <f>Ведомственная!H299</f>
        <v>0</v>
      </c>
      <c r="H518" s="110" t="e">
        <f>Ведомственная!I299</f>
        <v>#DIV/0!</v>
      </c>
    </row>
    <row r="519" spans="2:8" s="6" customFormat="1" ht="38.25">
      <c r="B519" s="103" t="s">
        <v>745</v>
      </c>
      <c r="C519" s="50" t="s">
        <v>204</v>
      </c>
      <c r="D519" s="50" t="s">
        <v>666</v>
      </c>
      <c r="E519" s="50" t="s">
        <v>20</v>
      </c>
      <c r="F519" s="110">
        <f>Ведомственная!G300</f>
        <v>0</v>
      </c>
      <c r="G519" s="110">
        <f>Ведомственная!H300</f>
        <v>0</v>
      </c>
      <c r="H519" s="110" t="e">
        <f>Ведомственная!I300</f>
        <v>#DIV/0!</v>
      </c>
    </row>
    <row r="520" spans="2:8" s="161" customFormat="1" ht="38.25">
      <c r="B520" s="56" t="s">
        <v>745</v>
      </c>
      <c r="C520" s="50" t="s">
        <v>204</v>
      </c>
      <c r="D520" s="50" t="s">
        <v>842</v>
      </c>
      <c r="E520" s="50" t="s">
        <v>20</v>
      </c>
      <c r="F520" s="110">
        <f>Ведомственная!G301</f>
        <v>3237.5</v>
      </c>
      <c r="G520" s="110">
        <f>Ведомственная!H301</f>
        <v>3237.4</v>
      </c>
      <c r="H520" s="110">
        <f>Ведомственная!I301</f>
        <v>0.99996911196911198</v>
      </c>
    </row>
    <row r="521" spans="2:8" ht="36">
      <c r="B521" s="134" t="s">
        <v>822</v>
      </c>
      <c r="C521" s="50" t="s">
        <v>204</v>
      </c>
      <c r="D521" s="50" t="s">
        <v>168</v>
      </c>
      <c r="E521" s="50" t="s">
        <v>12</v>
      </c>
      <c r="F521" s="110">
        <f>F522</f>
        <v>5028.5</v>
      </c>
      <c r="G521" s="110">
        <f t="shared" ref="G521:H521" si="221">G522</f>
        <v>4904</v>
      </c>
      <c r="H521" s="110">
        <f t="shared" si="221"/>
        <v>1.955720823798627</v>
      </c>
    </row>
    <row r="522" spans="2:8">
      <c r="B522" s="62" t="s">
        <v>103</v>
      </c>
      <c r="C522" s="50" t="s">
        <v>204</v>
      </c>
      <c r="D522" s="50" t="s">
        <v>169</v>
      </c>
      <c r="E522" s="50"/>
      <c r="F522" s="110">
        <f>F523+F524+F525</f>
        <v>5028.5</v>
      </c>
      <c r="G522" s="110">
        <f t="shared" ref="G522:H522" si="222">G523+G524+G525</f>
        <v>4904</v>
      </c>
      <c r="H522" s="110">
        <f t="shared" si="222"/>
        <v>1.955720823798627</v>
      </c>
    </row>
    <row r="523" spans="2:8" ht="25.5">
      <c r="B523" s="62" t="s">
        <v>218</v>
      </c>
      <c r="C523" s="50" t="s">
        <v>204</v>
      </c>
      <c r="D523" s="50" t="s">
        <v>228</v>
      </c>
      <c r="E523" s="50" t="s">
        <v>31</v>
      </c>
      <c r="F523" s="110">
        <f>Ведомственная!G385</f>
        <v>4780</v>
      </c>
      <c r="G523" s="110">
        <f>Ведомственная!H385</f>
        <v>4780</v>
      </c>
      <c r="H523" s="110">
        <f>Ведомственная!I385</f>
        <v>1</v>
      </c>
    </row>
    <row r="524" spans="2:8" ht="25.5">
      <c r="B524" s="62" t="s">
        <v>220</v>
      </c>
      <c r="C524" s="50" t="s">
        <v>204</v>
      </c>
      <c r="D524" s="50" t="s">
        <v>229</v>
      </c>
      <c r="E524" s="50" t="s">
        <v>31</v>
      </c>
      <c r="F524" s="110">
        <f>Ведомственная!G386</f>
        <v>218.5</v>
      </c>
      <c r="G524" s="110">
        <f>Ведомственная!H386</f>
        <v>110.5</v>
      </c>
      <c r="H524" s="110">
        <f>Ведомственная!I386</f>
        <v>0.50572082379862704</v>
      </c>
    </row>
    <row r="525" spans="2:8">
      <c r="B525" s="62" t="s">
        <v>222</v>
      </c>
      <c r="C525" s="50" t="s">
        <v>204</v>
      </c>
      <c r="D525" s="50" t="s">
        <v>230</v>
      </c>
      <c r="E525" s="50" t="s">
        <v>31</v>
      </c>
      <c r="F525" s="110">
        <f>Ведомственная!G387</f>
        <v>30</v>
      </c>
      <c r="G525" s="110">
        <f>Ведомственная!H387</f>
        <v>13.5</v>
      </c>
      <c r="H525" s="110">
        <f>Ведомственная!I387</f>
        <v>0.45</v>
      </c>
    </row>
    <row r="526" spans="2:8">
      <c r="B526" s="62" t="s">
        <v>78</v>
      </c>
      <c r="C526" s="50" t="s">
        <v>204</v>
      </c>
      <c r="D526" s="50" t="s">
        <v>139</v>
      </c>
      <c r="E526" s="50"/>
      <c r="F526" s="110">
        <f>F527+F532+F534+F536+F530+F538</f>
        <v>9297.2999999999993</v>
      </c>
      <c r="G526" s="110">
        <f t="shared" ref="G526:H526" si="223">G527+G532+G534+G536+G530+G538</f>
        <v>8765.5</v>
      </c>
      <c r="H526" s="110" t="e">
        <f t="shared" si="223"/>
        <v>#DIV/0!</v>
      </c>
    </row>
    <row r="527" spans="2:8">
      <c r="B527" s="62" t="s">
        <v>105</v>
      </c>
      <c r="C527" s="50" t="s">
        <v>204</v>
      </c>
      <c r="D527" s="50" t="s">
        <v>148</v>
      </c>
      <c r="E527" s="50"/>
      <c r="F527" s="110">
        <f>F528+F529</f>
        <v>8654.9</v>
      </c>
      <c r="G527" s="110">
        <f t="shared" ref="G527:H527" si="224">G528+G529</f>
        <v>8344.6</v>
      </c>
      <c r="H527" s="110">
        <f t="shared" si="224"/>
        <v>1.7703097602223625</v>
      </c>
    </row>
    <row r="528" spans="2:8" ht="51">
      <c r="B528" s="62" t="s">
        <v>17</v>
      </c>
      <c r="C528" s="50" t="s">
        <v>204</v>
      </c>
      <c r="D528" s="50" t="s">
        <v>148</v>
      </c>
      <c r="E528" s="50" t="s">
        <v>18</v>
      </c>
      <c r="F528" s="110">
        <f>Ведомственная!G722</f>
        <v>7323.9</v>
      </c>
      <c r="G528" s="110">
        <f>Ведомственная!H722</f>
        <v>7318.3</v>
      </c>
      <c r="H528" s="110">
        <f>Ведомственная!I722</f>
        <v>0.99923538005707346</v>
      </c>
    </row>
    <row r="529" spans="2:14">
      <c r="B529" s="62" t="s">
        <v>19</v>
      </c>
      <c r="C529" s="50" t="s">
        <v>204</v>
      </c>
      <c r="D529" s="50" t="s">
        <v>148</v>
      </c>
      <c r="E529" s="50" t="s">
        <v>20</v>
      </c>
      <c r="F529" s="110">
        <f>Ведомственная!G723</f>
        <v>1331</v>
      </c>
      <c r="G529" s="110">
        <f>Ведомственная!H723</f>
        <v>1026.3</v>
      </c>
      <c r="H529" s="110">
        <f>Ведомственная!I723</f>
        <v>0.77107438016528917</v>
      </c>
    </row>
    <row r="530" spans="2:14" ht="25.5">
      <c r="B530" s="62" t="s">
        <v>514</v>
      </c>
      <c r="C530" s="50" t="s">
        <v>204</v>
      </c>
      <c r="D530" s="50" t="s">
        <v>502</v>
      </c>
      <c r="E530" s="50"/>
      <c r="F530" s="110">
        <f>F531</f>
        <v>500</v>
      </c>
      <c r="G530" s="110">
        <f t="shared" ref="G530:H530" si="225">G531</f>
        <v>286.39999999999998</v>
      </c>
      <c r="H530" s="110">
        <f t="shared" si="225"/>
        <v>0.57279999999999998</v>
      </c>
    </row>
    <row r="531" spans="2:14">
      <c r="B531" s="62" t="s">
        <v>19</v>
      </c>
      <c r="C531" s="50" t="s">
        <v>204</v>
      </c>
      <c r="D531" s="50" t="s">
        <v>502</v>
      </c>
      <c r="E531" s="50" t="s">
        <v>20</v>
      </c>
      <c r="F531" s="110">
        <f>Ведомственная!G725</f>
        <v>500</v>
      </c>
      <c r="G531" s="110">
        <f>Ведомственная!H725</f>
        <v>286.39999999999998</v>
      </c>
      <c r="H531" s="110">
        <f>Ведомственная!I725</f>
        <v>0.57279999999999998</v>
      </c>
    </row>
    <row r="532" spans="2:14">
      <c r="B532" s="62" t="s">
        <v>100</v>
      </c>
      <c r="C532" s="50" t="s">
        <v>204</v>
      </c>
      <c r="D532" s="50" t="s">
        <v>151</v>
      </c>
      <c r="E532" s="50"/>
      <c r="F532" s="110">
        <f>F533</f>
        <v>122</v>
      </c>
      <c r="G532" s="110">
        <f t="shared" ref="G532:H532" si="226">G533</f>
        <v>115.3</v>
      </c>
      <c r="H532" s="110">
        <f t="shared" si="226"/>
        <v>0.94508196721311477</v>
      </c>
    </row>
    <row r="533" spans="2:14">
      <c r="B533" s="62" t="s">
        <v>21</v>
      </c>
      <c r="C533" s="50" t="s">
        <v>204</v>
      </c>
      <c r="D533" s="50" t="s">
        <v>151</v>
      </c>
      <c r="E533" s="50" t="s">
        <v>22</v>
      </c>
      <c r="F533" s="110">
        <f>Ведомственная!G727</f>
        <v>122</v>
      </c>
      <c r="G533" s="110">
        <f>Ведомственная!H727</f>
        <v>115.3</v>
      </c>
      <c r="H533" s="110">
        <f>Ведомственная!I727</f>
        <v>0.94508196721311477</v>
      </c>
    </row>
    <row r="534" spans="2:14">
      <c r="B534" s="62" t="s">
        <v>78</v>
      </c>
      <c r="C534" s="50" t="s">
        <v>204</v>
      </c>
      <c r="D534" s="50" t="s">
        <v>348</v>
      </c>
      <c r="E534" s="50"/>
      <c r="F534" s="110">
        <f>F535</f>
        <v>0</v>
      </c>
      <c r="G534" s="110">
        <f t="shared" ref="G534:H534" si="227">G535</f>
        <v>0</v>
      </c>
      <c r="H534" s="110" t="e">
        <f t="shared" si="227"/>
        <v>#DIV/0!</v>
      </c>
    </row>
    <row r="535" spans="2:14">
      <c r="B535" s="62" t="s">
        <v>347</v>
      </c>
      <c r="C535" s="50" t="s">
        <v>204</v>
      </c>
      <c r="D535" s="50" t="s">
        <v>348</v>
      </c>
      <c r="E535" s="50" t="s">
        <v>31</v>
      </c>
      <c r="F535" s="110">
        <f>Ведомственная!G390</f>
        <v>0</v>
      </c>
      <c r="G535" s="110">
        <f>Ведомственная!H390</f>
        <v>0</v>
      </c>
      <c r="H535" s="110" t="e">
        <f>Ведомственная!I390</f>
        <v>#DIV/0!</v>
      </c>
    </row>
    <row r="536" spans="2:14" ht="25.5" hidden="1">
      <c r="B536" s="62" t="s">
        <v>408</v>
      </c>
      <c r="C536" s="50" t="s">
        <v>204</v>
      </c>
      <c r="D536" s="50" t="s">
        <v>407</v>
      </c>
      <c r="E536" s="50"/>
      <c r="F536" s="110">
        <f>Ведомственная!G392</f>
        <v>0</v>
      </c>
      <c r="G536" s="110">
        <f>Ведомственная!H392</f>
        <v>0</v>
      </c>
      <c r="H536" s="110" t="e">
        <f>Ведомственная!I392</f>
        <v>#DIV/0!</v>
      </c>
    </row>
    <row r="537" spans="2:14" ht="25.5" hidden="1">
      <c r="B537" s="62" t="s">
        <v>30</v>
      </c>
      <c r="C537" s="50" t="s">
        <v>204</v>
      </c>
      <c r="D537" s="50" t="s">
        <v>407</v>
      </c>
      <c r="E537" s="50" t="s">
        <v>31</v>
      </c>
      <c r="F537" s="110">
        <f>Ведомственная!G392</f>
        <v>0</v>
      </c>
      <c r="G537" s="110">
        <f>Ведомственная!H392</f>
        <v>0</v>
      </c>
      <c r="H537" s="110" t="e">
        <f>Ведомственная!I392</f>
        <v>#DIV/0!</v>
      </c>
    </row>
    <row r="538" spans="2:14" ht="38.25">
      <c r="B538" s="15" t="s">
        <v>602</v>
      </c>
      <c r="C538" s="50" t="s">
        <v>204</v>
      </c>
      <c r="D538" s="50" t="s">
        <v>603</v>
      </c>
      <c r="E538" s="50"/>
      <c r="F538" s="110">
        <f>F539</f>
        <v>20.399999999999999</v>
      </c>
      <c r="G538" s="110">
        <f t="shared" ref="G538:H538" si="228">G539</f>
        <v>19.2</v>
      </c>
      <c r="H538" s="110">
        <f t="shared" si="228"/>
        <v>0.94117647058823528</v>
      </c>
    </row>
    <row r="539" spans="2:14" ht="25.5">
      <c r="B539" s="15" t="s">
        <v>30</v>
      </c>
      <c r="C539" s="50" t="s">
        <v>204</v>
      </c>
      <c r="D539" s="50" t="s">
        <v>603</v>
      </c>
      <c r="E539" s="50" t="s">
        <v>31</v>
      </c>
      <c r="F539" s="110">
        <f>Ведомственная!G394</f>
        <v>20.399999999999999</v>
      </c>
      <c r="G539" s="110">
        <f>Ведомственная!H394</f>
        <v>19.2</v>
      </c>
      <c r="H539" s="110">
        <f>Ведомственная!I394</f>
        <v>0.94117647058823528</v>
      </c>
    </row>
    <row r="540" spans="2:14" ht="25.5">
      <c r="B540" s="95" t="s">
        <v>755</v>
      </c>
      <c r="C540" s="11" t="s">
        <v>669</v>
      </c>
      <c r="D540" s="11"/>
      <c r="E540" s="11"/>
      <c r="F540" s="108">
        <f>F541</f>
        <v>30</v>
      </c>
      <c r="G540" s="108">
        <f t="shared" ref="G540:H540" si="229">G541</f>
        <v>0</v>
      </c>
      <c r="H540" s="108" t="e">
        <f t="shared" si="229"/>
        <v>#DIV/0!</v>
      </c>
      <c r="I540" s="32">
        <f>Ведомственная!G302</f>
        <v>30</v>
      </c>
      <c r="J540" s="32">
        <f>Ведомственная!H302</f>
        <v>0</v>
      </c>
      <c r="K540" s="32">
        <f>Ведомственная!I302</f>
        <v>0</v>
      </c>
      <c r="L540" s="32">
        <f>I540-F540</f>
        <v>0</v>
      </c>
      <c r="M540" s="32">
        <f t="shared" ref="M540" si="230">J540-G540</f>
        <v>0</v>
      </c>
      <c r="N540" s="32" t="e">
        <f t="shared" ref="N540" si="231">K540-H540</f>
        <v>#DIV/0!</v>
      </c>
    </row>
    <row r="541" spans="2:14" ht="38.25">
      <c r="B541" s="74" t="s">
        <v>712</v>
      </c>
      <c r="C541" s="11" t="s">
        <v>669</v>
      </c>
      <c r="D541" s="11" t="s">
        <v>670</v>
      </c>
      <c r="E541" s="11"/>
      <c r="F541" s="110">
        <f>F542+F543</f>
        <v>30</v>
      </c>
      <c r="G541" s="110">
        <f t="shared" ref="G541:H541" si="232">G542+G543</f>
        <v>0</v>
      </c>
      <c r="H541" s="110" t="e">
        <f t="shared" si="232"/>
        <v>#DIV/0!</v>
      </c>
    </row>
    <row r="542" spans="2:14" ht="51" hidden="1">
      <c r="B542" s="62" t="s">
        <v>713</v>
      </c>
      <c r="C542" s="50" t="s">
        <v>669</v>
      </c>
      <c r="D542" s="50" t="s">
        <v>671</v>
      </c>
      <c r="E542" s="50" t="s">
        <v>20</v>
      </c>
      <c r="F542" s="110">
        <f>Ведомственная!G304</f>
        <v>0</v>
      </c>
      <c r="G542" s="110">
        <f>Ведомственная!H304</f>
        <v>0</v>
      </c>
      <c r="H542" s="110" t="e">
        <f>Ведомственная!I304</f>
        <v>#DIV/0!</v>
      </c>
    </row>
    <row r="543" spans="2:14" ht="25.5">
      <c r="B543" s="62" t="s">
        <v>716</v>
      </c>
      <c r="C543" s="50" t="s">
        <v>669</v>
      </c>
      <c r="D543" s="50" t="s">
        <v>672</v>
      </c>
      <c r="E543" s="50" t="s">
        <v>20</v>
      </c>
      <c r="F543" s="110">
        <f>Ведомственная!G305</f>
        <v>30</v>
      </c>
      <c r="G543" s="110">
        <f>Ведомственная!H305</f>
        <v>0</v>
      </c>
      <c r="H543" s="110">
        <f>Ведомственная!I305</f>
        <v>0</v>
      </c>
    </row>
    <row r="544" spans="2:14">
      <c r="B544" s="74" t="s">
        <v>756</v>
      </c>
      <c r="C544" s="11" t="s">
        <v>673</v>
      </c>
      <c r="D544" s="11"/>
      <c r="E544" s="11"/>
      <c r="F544" s="108">
        <f>F545</f>
        <v>24</v>
      </c>
      <c r="G544" s="108">
        <f t="shared" ref="G544:H544" si="233">G545</f>
        <v>3</v>
      </c>
      <c r="H544" s="108">
        <f t="shared" si="233"/>
        <v>0.125</v>
      </c>
      <c r="I544" s="32">
        <f>Ведомственная!G306</f>
        <v>24</v>
      </c>
      <c r="J544" s="32">
        <f>Ведомственная!H306</f>
        <v>3</v>
      </c>
      <c r="K544" s="32">
        <f>Ведомственная!I306</f>
        <v>0.125</v>
      </c>
      <c r="L544" s="32">
        <f>I544-F544</f>
        <v>0</v>
      </c>
      <c r="M544" s="32">
        <f t="shared" ref="M544" si="234">J544-G544</f>
        <v>0</v>
      </c>
      <c r="N544" s="32">
        <f t="shared" ref="N544" si="235">K544-H544</f>
        <v>0</v>
      </c>
    </row>
    <row r="545" spans="2:14" s="6" customFormat="1" ht="38.25">
      <c r="B545" s="74" t="s">
        <v>712</v>
      </c>
      <c r="C545" s="11" t="s">
        <v>673</v>
      </c>
      <c r="D545" s="11" t="s">
        <v>670</v>
      </c>
      <c r="E545" s="11"/>
      <c r="F545" s="108">
        <f>F546</f>
        <v>24</v>
      </c>
      <c r="G545" s="108">
        <f t="shared" ref="G545:H545" si="236">G546</f>
        <v>3</v>
      </c>
      <c r="H545" s="108">
        <f t="shared" si="236"/>
        <v>0.125</v>
      </c>
    </row>
    <row r="546" spans="2:14" s="6" customFormat="1" ht="51">
      <c r="B546" s="62" t="s">
        <v>714</v>
      </c>
      <c r="C546" s="50" t="s">
        <v>673</v>
      </c>
      <c r="D546" s="50" t="s">
        <v>674</v>
      </c>
      <c r="E546" s="50" t="s">
        <v>26</v>
      </c>
      <c r="F546" s="110">
        <f>Ведомственная!G308</f>
        <v>24</v>
      </c>
      <c r="G546" s="110">
        <f>Ведомственная!H308</f>
        <v>3</v>
      </c>
      <c r="H546" s="110">
        <f>Ведомственная!I308</f>
        <v>0.125</v>
      </c>
    </row>
    <row r="547" spans="2:14">
      <c r="B547" s="74" t="s">
        <v>318</v>
      </c>
      <c r="C547" s="11" t="s">
        <v>51</v>
      </c>
      <c r="D547" s="11"/>
      <c r="E547" s="11"/>
      <c r="F547" s="108">
        <f>F548+F553+F556+F560+F565+F573</f>
        <v>1820.3</v>
      </c>
      <c r="G547" s="108">
        <f t="shared" ref="G547:H547" si="237">G548+G553+G556+G560+G565+G573</f>
        <v>1422</v>
      </c>
      <c r="H547" s="108" t="e">
        <f t="shared" si="237"/>
        <v>#DIV/0!</v>
      </c>
      <c r="I547" s="32">
        <f>Ведомственная!G309+Ведомственная!G395+Ведомственная!G728</f>
        <v>1820.2999999999997</v>
      </c>
      <c r="J547" s="32">
        <f>Ведомственная!H309+Ведомственная!H395+Ведомственная!H728</f>
        <v>1422</v>
      </c>
      <c r="K547" s="32">
        <f>Ведомственная!I309+Ведомственная!I395+Ведомственная!I728</f>
        <v>2.0634138232904959</v>
      </c>
      <c r="L547" s="32">
        <f>I547-F547</f>
        <v>0</v>
      </c>
      <c r="M547" s="32">
        <f t="shared" ref="M547" si="238">J547-G547</f>
        <v>0</v>
      </c>
      <c r="N547" s="32" t="e">
        <f t="shared" ref="N547" si="239">K547-H547</f>
        <v>#DIV/0!</v>
      </c>
    </row>
    <row r="548" spans="2:14" ht="25.5">
      <c r="B548" s="104" t="s">
        <v>757</v>
      </c>
      <c r="C548" s="11" t="s">
        <v>51</v>
      </c>
      <c r="D548" s="11" t="s">
        <v>198</v>
      </c>
      <c r="E548" s="11"/>
      <c r="F548" s="108">
        <f>F549</f>
        <v>281.39999999999998</v>
      </c>
      <c r="G548" s="108">
        <f t="shared" ref="G548:H548" si="240">G549</f>
        <v>57.7</v>
      </c>
      <c r="H548" s="108">
        <f t="shared" si="240"/>
        <v>0.60736961451247162</v>
      </c>
    </row>
    <row r="549" spans="2:14" ht="25.5">
      <c r="B549" s="62" t="s">
        <v>99</v>
      </c>
      <c r="C549" s="50" t="s">
        <v>51</v>
      </c>
      <c r="D549" s="50" t="s">
        <v>198</v>
      </c>
      <c r="E549" s="50" t="s">
        <v>20</v>
      </c>
      <c r="F549" s="110">
        <f>SUM(F550:F552)</f>
        <v>281.39999999999998</v>
      </c>
      <c r="G549" s="110">
        <f t="shared" ref="G549:H549" si="241">SUM(G550:G552)</f>
        <v>57.7</v>
      </c>
      <c r="H549" s="110">
        <f t="shared" si="241"/>
        <v>0.60736961451247162</v>
      </c>
    </row>
    <row r="550" spans="2:14">
      <c r="B550" s="105" t="s">
        <v>758</v>
      </c>
      <c r="C550" s="50" t="s">
        <v>51</v>
      </c>
      <c r="D550" s="50" t="s">
        <v>275</v>
      </c>
      <c r="E550" s="50" t="s">
        <v>20</v>
      </c>
      <c r="F550" s="110">
        <f>Ведомственная!G398</f>
        <v>176.4</v>
      </c>
      <c r="G550" s="110">
        <f>Ведомственная!H398</f>
        <v>6.2</v>
      </c>
      <c r="H550" s="110">
        <f>Ведомственная!I398</f>
        <v>3.5147392290249435E-2</v>
      </c>
    </row>
    <row r="551" spans="2:14" ht="25.5">
      <c r="B551" s="105" t="s">
        <v>759</v>
      </c>
      <c r="C551" s="50" t="s">
        <v>51</v>
      </c>
      <c r="D551" s="50" t="s">
        <v>442</v>
      </c>
      <c r="E551" s="50" t="s">
        <v>20</v>
      </c>
      <c r="F551" s="110">
        <f>Ведомственная!G399</f>
        <v>90</v>
      </c>
      <c r="G551" s="110">
        <f>Ведомственная!H399</f>
        <v>51.5</v>
      </c>
      <c r="H551" s="110">
        <f>Ведомственная!I399</f>
        <v>0.57222222222222219</v>
      </c>
    </row>
    <row r="552" spans="2:14">
      <c r="B552" s="105" t="s">
        <v>816</v>
      </c>
      <c r="C552" s="50" t="s">
        <v>51</v>
      </c>
      <c r="D552" s="50" t="s">
        <v>443</v>
      </c>
      <c r="E552" s="50" t="s">
        <v>20</v>
      </c>
      <c r="F552" s="110">
        <f>Ведомственная!G400</f>
        <v>15</v>
      </c>
      <c r="G552" s="110">
        <f>Ведомственная!H400</f>
        <v>0</v>
      </c>
      <c r="H552" s="110">
        <f>Ведомственная!I400</f>
        <v>0</v>
      </c>
    </row>
    <row r="553" spans="2:14" ht="38.25">
      <c r="B553" s="104" t="s">
        <v>761</v>
      </c>
      <c r="C553" s="11" t="s">
        <v>51</v>
      </c>
      <c r="D553" s="11" t="s">
        <v>161</v>
      </c>
      <c r="E553" s="11"/>
      <c r="F553" s="108">
        <f>F554</f>
        <v>15</v>
      </c>
      <c r="G553" s="108">
        <f t="shared" ref="G553:H554" si="242">G554</f>
        <v>14.4</v>
      </c>
      <c r="H553" s="108">
        <f t="shared" si="242"/>
        <v>0.96000000000000008</v>
      </c>
    </row>
    <row r="554" spans="2:14">
      <c r="B554" s="62" t="s">
        <v>249</v>
      </c>
      <c r="C554" s="50" t="s">
        <v>51</v>
      </c>
      <c r="D554" s="50" t="s">
        <v>250</v>
      </c>
      <c r="E554" s="50"/>
      <c r="F554" s="110">
        <f>F555</f>
        <v>15</v>
      </c>
      <c r="G554" s="110">
        <f t="shared" si="242"/>
        <v>14.4</v>
      </c>
      <c r="H554" s="110">
        <f t="shared" si="242"/>
        <v>0.96000000000000008</v>
      </c>
    </row>
    <row r="555" spans="2:14" ht="25.5">
      <c r="B555" s="62" t="s">
        <v>99</v>
      </c>
      <c r="C555" s="50" t="s">
        <v>51</v>
      </c>
      <c r="D555" s="50" t="s">
        <v>280</v>
      </c>
      <c r="E555" s="50" t="s">
        <v>20</v>
      </c>
      <c r="F555" s="110">
        <f>Ведомственная!G403</f>
        <v>15</v>
      </c>
      <c r="G555" s="110">
        <f>Ведомственная!H403</f>
        <v>14.4</v>
      </c>
      <c r="H555" s="110">
        <f>Ведомственная!I403</f>
        <v>0.96000000000000008</v>
      </c>
    </row>
    <row r="556" spans="2:14" ht="25.5">
      <c r="B556" s="131" t="s">
        <v>770</v>
      </c>
      <c r="C556" s="11" t="s">
        <v>51</v>
      </c>
      <c r="D556" s="11" t="s">
        <v>162</v>
      </c>
      <c r="E556" s="11"/>
      <c r="F556" s="108">
        <f>F557</f>
        <v>111</v>
      </c>
      <c r="G556" s="108">
        <f t="shared" ref="G556:H556" si="243">G557</f>
        <v>109.1</v>
      </c>
      <c r="H556" s="108">
        <f t="shared" si="243"/>
        <v>1.968013468013468</v>
      </c>
    </row>
    <row r="557" spans="2:14">
      <c r="B557" s="62" t="s">
        <v>19</v>
      </c>
      <c r="C557" s="50" t="s">
        <v>51</v>
      </c>
      <c r="D557" s="50" t="s">
        <v>202</v>
      </c>
      <c r="E557" s="50"/>
      <c r="F557" s="110">
        <f>F558+F559</f>
        <v>111</v>
      </c>
      <c r="G557" s="110">
        <f t="shared" ref="G557:H557" si="244">G558+G559</f>
        <v>109.1</v>
      </c>
      <c r="H557" s="110">
        <f t="shared" si="244"/>
        <v>1.968013468013468</v>
      </c>
    </row>
    <row r="558" spans="2:14" ht="25.5">
      <c r="B558" s="62" t="s">
        <v>251</v>
      </c>
      <c r="C558" s="50" t="s">
        <v>51</v>
      </c>
      <c r="D558" s="50" t="s">
        <v>281</v>
      </c>
      <c r="E558" s="50" t="s">
        <v>20</v>
      </c>
      <c r="F558" s="110">
        <f>Ведомственная!G737</f>
        <v>59.4</v>
      </c>
      <c r="G558" s="110">
        <f>Ведомственная!H737</f>
        <v>57.5</v>
      </c>
      <c r="H558" s="110">
        <f>Ведомственная!I737</f>
        <v>0.96801346801346799</v>
      </c>
    </row>
    <row r="559" spans="2:14" ht="25.5">
      <c r="B559" s="62" t="s">
        <v>252</v>
      </c>
      <c r="C559" s="50" t="s">
        <v>51</v>
      </c>
      <c r="D559" s="50" t="s">
        <v>282</v>
      </c>
      <c r="E559" s="50" t="s">
        <v>20</v>
      </c>
      <c r="F559" s="110">
        <f>Ведомственная!G738</f>
        <v>51.6</v>
      </c>
      <c r="G559" s="110">
        <f>Ведомственная!H738</f>
        <v>51.6</v>
      </c>
      <c r="H559" s="110">
        <f>Ведомственная!I738</f>
        <v>1</v>
      </c>
    </row>
    <row r="560" spans="2:14">
      <c r="B560" s="62" t="s">
        <v>420</v>
      </c>
      <c r="C560" s="50" t="s">
        <v>51</v>
      </c>
      <c r="D560" s="50" t="s">
        <v>139</v>
      </c>
      <c r="E560" s="50"/>
      <c r="F560" s="110">
        <f>F561+F562+F563+F568</f>
        <v>1408.6999999999998</v>
      </c>
      <c r="G560" s="110">
        <f t="shared" ref="G560:H560" si="245">G561+G562+G563+G568</f>
        <v>1236.5999999999999</v>
      </c>
      <c r="H560" s="110">
        <f t="shared" si="245"/>
        <v>5.6176706440131134</v>
      </c>
    </row>
    <row r="561" spans="2:14" ht="51">
      <c r="B561" s="62" t="s">
        <v>17</v>
      </c>
      <c r="C561" s="50" t="s">
        <v>51</v>
      </c>
      <c r="D561" s="50" t="s">
        <v>148</v>
      </c>
      <c r="E561" s="50" t="s">
        <v>18</v>
      </c>
      <c r="F561" s="110">
        <f>Ведомственная!G312</f>
        <v>895.5</v>
      </c>
      <c r="G561" s="110">
        <f>Ведомственная!H312</f>
        <v>779.5</v>
      </c>
      <c r="H561" s="110">
        <f>Ведомственная!I312</f>
        <v>0.87046342825237299</v>
      </c>
    </row>
    <row r="562" spans="2:14">
      <c r="B562" s="62" t="s">
        <v>19</v>
      </c>
      <c r="C562" s="50" t="s">
        <v>51</v>
      </c>
      <c r="D562" s="50" t="s">
        <v>148</v>
      </c>
      <c r="E562" s="50" t="s">
        <v>20</v>
      </c>
      <c r="F562" s="110">
        <f>Ведомственная!G313</f>
        <v>75</v>
      </c>
      <c r="G562" s="110">
        <f>Ведомственная!H313</f>
        <v>20.100000000000001</v>
      </c>
      <c r="H562" s="110">
        <f>Ведомственная!I313</f>
        <v>0.26800000000000002</v>
      </c>
    </row>
    <row r="563" spans="2:14">
      <c r="B563" s="62" t="s">
        <v>100</v>
      </c>
      <c r="C563" s="50" t="s">
        <v>51</v>
      </c>
      <c r="D563" s="50" t="s">
        <v>151</v>
      </c>
      <c r="E563" s="50"/>
      <c r="F563" s="110">
        <f>F564</f>
        <v>2</v>
      </c>
      <c r="G563" s="110">
        <f t="shared" ref="G563:H563" si="246">G564</f>
        <v>1</v>
      </c>
      <c r="H563" s="110">
        <f t="shared" si="246"/>
        <v>0.5</v>
      </c>
    </row>
    <row r="564" spans="2:14">
      <c r="B564" s="62" t="s">
        <v>21</v>
      </c>
      <c r="C564" s="50" t="s">
        <v>51</v>
      </c>
      <c r="D564" s="50" t="s">
        <v>151</v>
      </c>
      <c r="E564" s="50" t="s">
        <v>22</v>
      </c>
      <c r="F564" s="110">
        <f>Ведомственная!G315</f>
        <v>2</v>
      </c>
      <c r="G564" s="110">
        <f>Ведомственная!H315</f>
        <v>1</v>
      </c>
      <c r="H564" s="110">
        <f>Ведомственная!I315</f>
        <v>0.5</v>
      </c>
    </row>
    <row r="565" spans="2:14" hidden="1">
      <c r="B565" s="62" t="s">
        <v>570</v>
      </c>
      <c r="C565" s="50" t="s">
        <v>51</v>
      </c>
      <c r="D565" s="50" t="s">
        <v>139</v>
      </c>
      <c r="E565" s="50"/>
      <c r="F565" s="110">
        <f>F566</f>
        <v>0</v>
      </c>
      <c r="G565" s="110">
        <f t="shared" ref="G565:H566" si="247">G566</f>
        <v>0</v>
      </c>
      <c r="H565" s="110" t="e">
        <f t="shared" si="247"/>
        <v>#DIV/0!</v>
      </c>
    </row>
    <row r="566" spans="2:14" hidden="1">
      <c r="B566" s="62" t="s">
        <v>571</v>
      </c>
      <c r="C566" s="50" t="s">
        <v>51</v>
      </c>
      <c r="D566" s="50" t="s">
        <v>567</v>
      </c>
      <c r="E566" s="50"/>
      <c r="F566" s="110">
        <f>F567</f>
        <v>0</v>
      </c>
      <c r="G566" s="110">
        <f t="shared" si="247"/>
        <v>0</v>
      </c>
      <c r="H566" s="110" t="e">
        <f t="shared" si="247"/>
        <v>#DIV/0!</v>
      </c>
    </row>
    <row r="567" spans="2:14" ht="25.5" hidden="1">
      <c r="B567" s="62" t="s">
        <v>394</v>
      </c>
      <c r="C567" s="50" t="s">
        <v>51</v>
      </c>
      <c r="D567" s="50" t="s">
        <v>567</v>
      </c>
      <c r="E567" s="50" t="s">
        <v>31</v>
      </c>
      <c r="F567" s="110">
        <f>Ведомственная!G318</f>
        <v>0</v>
      </c>
      <c r="G567" s="110">
        <f>Ведомственная!H318</f>
        <v>0</v>
      </c>
      <c r="H567" s="110" t="e">
        <f>Ведомственная!I318</f>
        <v>#DIV/0!</v>
      </c>
    </row>
    <row r="568" spans="2:14" ht="38.25">
      <c r="B568" s="62" t="s">
        <v>553</v>
      </c>
      <c r="C568" s="50" t="s">
        <v>51</v>
      </c>
      <c r="D568" s="50" t="s">
        <v>551</v>
      </c>
      <c r="E568" s="50"/>
      <c r="F568" s="110">
        <f>SUM(F569:F572)</f>
        <v>436.19999999999993</v>
      </c>
      <c r="G568" s="110">
        <f t="shared" ref="G568:H568" si="248">SUM(G569:G572)</f>
        <v>436</v>
      </c>
      <c r="H568" s="110">
        <f t="shared" si="248"/>
        <v>3.979207215760741</v>
      </c>
    </row>
    <row r="569" spans="2:14">
      <c r="B569" s="62" t="s">
        <v>19</v>
      </c>
      <c r="C569" s="50" t="s">
        <v>51</v>
      </c>
      <c r="D569" s="50" t="s">
        <v>551</v>
      </c>
      <c r="E569" s="50" t="s">
        <v>20</v>
      </c>
      <c r="F569" s="110">
        <f>Ведомственная!G731</f>
        <v>343.29999999999995</v>
      </c>
      <c r="G569" s="110">
        <f>Ведомственная!H731</f>
        <v>343.3</v>
      </c>
      <c r="H569" s="110">
        <f>Ведомственная!I731</f>
        <v>1.0000000000000002</v>
      </c>
    </row>
    <row r="570" spans="2:14" ht="25.5">
      <c r="B570" s="62" t="s">
        <v>504</v>
      </c>
      <c r="C570" s="50" t="s">
        <v>51</v>
      </c>
      <c r="D570" s="50" t="s">
        <v>551</v>
      </c>
      <c r="E570" s="50" t="s">
        <v>20</v>
      </c>
      <c r="F570" s="110">
        <f>Ведомственная!G732</f>
        <v>38.299999999999997</v>
      </c>
      <c r="G570" s="110">
        <f>Ведомственная!H732</f>
        <v>38.200000000000003</v>
      </c>
      <c r="H570" s="110">
        <f>Ведомственная!I732</f>
        <v>0.99738903394255884</v>
      </c>
    </row>
    <row r="571" spans="2:14" ht="25.5">
      <c r="B571" s="62" t="s">
        <v>30</v>
      </c>
      <c r="C571" s="50" t="s">
        <v>51</v>
      </c>
      <c r="D571" s="50" t="s">
        <v>551</v>
      </c>
      <c r="E571" s="50" t="s">
        <v>31</v>
      </c>
      <c r="F571" s="110">
        <f>Ведомственная!G733</f>
        <v>49.099999999999994</v>
      </c>
      <c r="G571" s="110">
        <f>Ведомственная!H733</f>
        <v>49.1</v>
      </c>
      <c r="H571" s="110">
        <f>Ведомственная!I733</f>
        <v>1.0000000000000002</v>
      </c>
    </row>
    <row r="572" spans="2:14" ht="25.5">
      <c r="B572" s="62" t="s">
        <v>554</v>
      </c>
      <c r="C572" s="50" t="s">
        <v>51</v>
      </c>
      <c r="D572" s="50" t="s">
        <v>551</v>
      </c>
      <c r="E572" s="50" t="s">
        <v>31</v>
      </c>
      <c r="F572" s="110">
        <f>Ведомственная!G734</f>
        <v>5.5</v>
      </c>
      <c r="G572" s="110">
        <f>Ведомственная!H734</f>
        <v>5.4</v>
      </c>
      <c r="H572" s="110">
        <f>Ведомственная!I734</f>
        <v>0.98181818181818192</v>
      </c>
    </row>
    <row r="573" spans="2:14">
      <c r="B573" s="15" t="s">
        <v>570</v>
      </c>
      <c r="C573" s="157" t="s">
        <v>51</v>
      </c>
      <c r="D573" s="157" t="s">
        <v>139</v>
      </c>
      <c r="E573" s="157"/>
      <c r="F573" s="110">
        <f>F574</f>
        <v>4.1999999999999993</v>
      </c>
      <c r="G573" s="110">
        <f t="shared" ref="G573:H573" si="249">G574</f>
        <v>4.2</v>
      </c>
      <c r="H573" s="110">
        <f t="shared" si="249"/>
        <v>1.0000000000000002</v>
      </c>
    </row>
    <row r="574" spans="2:14">
      <c r="B574" s="15" t="s">
        <v>571</v>
      </c>
      <c r="C574" s="157" t="s">
        <v>51</v>
      </c>
      <c r="D574" s="157" t="s">
        <v>567</v>
      </c>
      <c r="E574" s="157"/>
      <c r="F574" s="110">
        <f>F575</f>
        <v>4.1999999999999993</v>
      </c>
      <c r="G574" s="110">
        <f t="shared" ref="G574:H574" si="250">G575</f>
        <v>4.2</v>
      </c>
      <c r="H574" s="110">
        <f t="shared" si="250"/>
        <v>1.0000000000000002</v>
      </c>
    </row>
    <row r="575" spans="2:14" ht="25.5">
      <c r="B575" s="15" t="s">
        <v>394</v>
      </c>
      <c r="C575" s="157" t="s">
        <v>51</v>
      </c>
      <c r="D575" s="157" t="s">
        <v>567</v>
      </c>
      <c r="E575" s="157" t="s">
        <v>31</v>
      </c>
      <c r="F575" s="110">
        <f>Ведомственная!G319</f>
        <v>4.1999999999999993</v>
      </c>
      <c r="G575" s="110">
        <f>Ведомственная!H319</f>
        <v>4.2</v>
      </c>
      <c r="H575" s="110">
        <f>Ведомственная!I319</f>
        <v>1.0000000000000002</v>
      </c>
    </row>
    <row r="576" spans="2:14">
      <c r="B576" s="74" t="s">
        <v>52</v>
      </c>
      <c r="C576" s="11" t="s">
        <v>53</v>
      </c>
      <c r="D576" s="50"/>
      <c r="E576" s="50"/>
      <c r="F576" s="108">
        <f>F577+F583+F586+F589</f>
        <v>14921.7</v>
      </c>
      <c r="G576" s="108">
        <f t="shared" ref="G576:H576" si="251">G577+G583+G586+G589</f>
        <v>14392.400000000001</v>
      </c>
      <c r="H576" s="108">
        <f t="shared" si="251"/>
        <v>6.5528303234222989</v>
      </c>
      <c r="I576" s="32">
        <f>Ведомственная!G739</f>
        <v>14921.7</v>
      </c>
      <c r="J576" s="32">
        <f>Ведомственная!H739</f>
        <v>14392.4</v>
      </c>
      <c r="K576" s="32">
        <f>Ведомственная!I739</f>
        <v>0.96452817038273109</v>
      </c>
      <c r="L576" s="32">
        <f>I576-F576</f>
        <v>0</v>
      </c>
      <c r="M576" s="32">
        <f t="shared" ref="M576" si="252">J576-G576</f>
        <v>0</v>
      </c>
      <c r="N576" s="32">
        <f t="shared" ref="N576" si="253">K576-H576</f>
        <v>-5.5883021530395673</v>
      </c>
    </row>
    <row r="577" spans="2:14" ht="25.5">
      <c r="B577" s="62" t="s">
        <v>104</v>
      </c>
      <c r="C577" s="50" t="s">
        <v>53</v>
      </c>
      <c r="D577" s="50" t="s">
        <v>137</v>
      </c>
      <c r="E577" s="50" t="s">
        <v>12</v>
      </c>
      <c r="F577" s="110">
        <f>F578+F581</f>
        <v>2680.5</v>
      </c>
      <c r="G577" s="110">
        <f t="shared" ref="G577:H577" si="254">G578+G581</f>
        <v>2545.1</v>
      </c>
      <c r="H577" s="110">
        <f t="shared" si="254"/>
        <v>2.6415058299312615</v>
      </c>
    </row>
    <row r="578" spans="2:14">
      <c r="B578" s="62" t="s">
        <v>95</v>
      </c>
      <c r="C578" s="50" t="s">
        <v>53</v>
      </c>
      <c r="D578" s="50" t="s">
        <v>138</v>
      </c>
      <c r="E578" s="50"/>
      <c r="F578" s="110">
        <f>F579+F580</f>
        <v>2665.9</v>
      </c>
      <c r="G578" s="110">
        <f t="shared" ref="G578:H578" si="255">G579+G580</f>
        <v>2530.5</v>
      </c>
      <c r="H578" s="110">
        <f t="shared" si="255"/>
        <v>1.6415058299312615</v>
      </c>
    </row>
    <row r="579" spans="2:14" ht="51">
      <c r="B579" s="62" t="s">
        <v>17</v>
      </c>
      <c r="C579" s="50" t="s">
        <v>53</v>
      </c>
      <c r="D579" s="50" t="s">
        <v>138</v>
      </c>
      <c r="E579" s="50" t="s">
        <v>18</v>
      </c>
      <c r="F579" s="110">
        <f>Ведомственная!G742</f>
        <v>2384.4</v>
      </c>
      <c r="G579" s="110">
        <f>Ведомственная!H742</f>
        <v>2345.3000000000002</v>
      </c>
      <c r="H579" s="110">
        <f>Ведомственная!I742</f>
        <v>0.98360174467371253</v>
      </c>
    </row>
    <row r="580" spans="2:14">
      <c r="B580" s="62" t="s">
        <v>19</v>
      </c>
      <c r="C580" s="50" t="s">
        <v>53</v>
      </c>
      <c r="D580" s="50" t="s">
        <v>138</v>
      </c>
      <c r="E580" s="50" t="s">
        <v>20</v>
      </c>
      <c r="F580" s="110">
        <f>Ведомственная!G743</f>
        <v>281.5</v>
      </c>
      <c r="G580" s="110">
        <f>Ведомственная!H743</f>
        <v>185.2</v>
      </c>
      <c r="H580" s="110">
        <f>Ведомственная!I743</f>
        <v>0.65790408525754884</v>
      </c>
    </row>
    <row r="581" spans="2:14" ht="38.25">
      <c r="B581" s="15" t="s">
        <v>927</v>
      </c>
      <c r="C581" s="50" t="s">
        <v>53</v>
      </c>
      <c r="D581" s="157" t="s">
        <v>928</v>
      </c>
      <c r="E581" s="50"/>
      <c r="F581" s="110">
        <f>F582</f>
        <v>14.6</v>
      </c>
      <c r="G581" s="110">
        <f t="shared" ref="G581:H581" si="256">G582</f>
        <v>14.6</v>
      </c>
      <c r="H581" s="110">
        <f t="shared" si="256"/>
        <v>1</v>
      </c>
    </row>
    <row r="582" spans="2:14" ht="51">
      <c r="B582" s="15" t="s">
        <v>17</v>
      </c>
      <c r="C582" s="50" t="s">
        <v>53</v>
      </c>
      <c r="D582" s="157" t="s">
        <v>928</v>
      </c>
      <c r="E582" s="50" t="s">
        <v>18</v>
      </c>
      <c r="F582" s="110">
        <f>Ведомственная!G745</f>
        <v>14.6</v>
      </c>
      <c r="G582" s="110">
        <f>Ведомственная!H745</f>
        <v>14.6</v>
      </c>
      <c r="H582" s="110">
        <f>Ведомственная!I745</f>
        <v>1</v>
      </c>
    </row>
    <row r="583" spans="2:14">
      <c r="B583" s="62" t="s">
        <v>105</v>
      </c>
      <c r="C583" s="50" t="s">
        <v>53</v>
      </c>
      <c r="D583" s="50" t="s">
        <v>148</v>
      </c>
      <c r="E583" s="50"/>
      <c r="F583" s="110">
        <f>F584+F585</f>
        <v>12111.1</v>
      </c>
      <c r="G583" s="110">
        <f t="shared" ref="G583:H583" si="257">G584+G585</f>
        <v>11720.7</v>
      </c>
      <c r="H583" s="110">
        <f t="shared" si="257"/>
        <v>1.7863244934910369</v>
      </c>
    </row>
    <row r="584" spans="2:14" ht="51">
      <c r="B584" s="62" t="s">
        <v>17</v>
      </c>
      <c r="C584" s="50" t="s">
        <v>53</v>
      </c>
      <c r="D584" s="50" t="s">
        <v>148</v>
      </c>
      <c r="E584" s="50" t="s">
        <v>18</v>
      </c>
      <c r="F584" s="110">
        <f>Ведомственная!G748</f>
        <v>11141.1</v>
      </c>
      <c r="G584" s="110">
        <f>Ведомственная!H748</f>
        <v>10940.5</v>
      </c>
      <c r="H584" s="110">
        <f>Ведомственная!I748</f>
        <v>0.98199459658382027</v>
      </c>
    </row>
    <row r="585" spans="2:14">
      <c r="B585" s="62" t="s">
        <v>19</v>
      </c>
      <c r="C585" s="50" t="s">
        <v>53</v>
      </c>
      <c r="D585" s="50" t="s">
        <v>148</v>
      </c>
      <c r="E585" s="50" t="s">
        <v>20</v>
      </c>
      <c r="F585" s="110">
        <f>Ведомственная!G749</f>
        <v>970</v>
      </c>
      <c r="G585" s="110">
        <f>Ведомственная!H749</f>
        <v>780.2</v>
      </c>
      <c r="H585" s="110">
        <f>Ведомственная!I749</f>
        <v>0.80432989690721657</v>
      </c>
    </row>
    <row r="586" spans="2:14">
      <c r="B586" s="62" t="s">
        <v>656</v>
      </c>
      <c r="C586" s="50" t="s">
        <v>53</v>
      </c>
      <c r="D586" s="50" t="s">
        <v>144</v>
      </c>
      <c r="E586" s="50"/>
      <c r="F586" s="110">
        <f>F587+F588</f>
        <v>126.1</v>
      </c>
      <c r="G586" s="110">
        <f t="shared" ref="G586:H586" si="258">G587+G588</f>
        <v>126.1</v>
      </c>
      <c r="H586" s="110">
        <f t="shared" si="258"/>
        <v>2</v>
      </c>
    </row>
    <row r="587" spans="2:14" ht="51">
      <c r="B587" s="62" t="s">
        <v>17</v>
      </c>
      <c r="C587" s="50" t="s">
        <v>53</v>
      </c>
      <c r="D587" s="50" t="s">
        <v>144</v>
      </c>
      <c r="E587" s="50" t="s">
        <v>18</v>
      </c>
      <c r="F587" s="110">
        <f>Ведомственная!G751</f>
        <v>112.5</v>
      </c>
      <c r="G587" s="110">
        <f>Ведомственная!H751</f>
        <v>112.5</v>
      </c>
      <c r="H587" s="110">
        <f>Ведомственная!I751</f>
        <v>1</v>
      </c>
    </row>
    <row r="588" spans="2:14">
      <c r="B588" s="62" t="s">
        <v>19</v>
      </c>
      <c r="C588" s="50" t="s">
        <v>53</v>
      </c>
      <c r="D588" s="50" t="s">
        <v>144</v>
      </c>
      <c r="E588" s="50" t="s">
        <v>20</v>
      </c>
      <c r="F588" s="110">
        <f>Ведомственная!G752</f>
        <v>13.6</v>
      </c>
      <c r="G588" s="110">
        <f>Ведомственная!H752</f>
        <v>13.6</v>
      </c>
      <c r="H588" s="110">
        <f>Ведомственная!I752</f>
        <v>1</v>
      </c>
    </row>
    <row r="589" spans="2:14">
      <c r="B589" s="62" t="s">
        <v>100</v>
      </c>
      <c r="C589" s="50" t="s">
        <v>53</v>
      </c>
      <c r="D589" s="50" t="s">
        <v>151</v>
      </c>
      <c r="E589" s="50"/>
      <c r="F589" s="110">
        <f>F590</f>
        <v>3.9999999999999996</v>
      </c>
      <c r="G589" s="110">
        <f t="shared" ref="G589:H589" si="259">G590</f>
        <v>0.5</v>
      </c>
      <c r="H589" s="110">
        <f t="shared" si="259"/>
        <v>0.125</v>
      </c>
    </row>
    <row r="590" spans="2:14">
      <c r="B590" s="62" t="s">
        <v>21</v>
      </c>
      <c r="C590" s="50" t="s">
        <v>53</v>
      </c>
      <c r="D590" s="50" t="s">
        <v>151</v>
      </c>
      <c r="E590" s="50" t="s">
        <v>22</v>
      </c>
      <c r="F590" s="110">
        <f>Ведомственная!G754</f>
        <v>3.9999999999999996</v>
      </c>
      <c r="G590" s="110">
        <f>Ведомственная!H754</f>
        <v>0.5</v>
      </c>
      <c r="H590" s="110">
        <f>Ведомственная!I754</f>
        <v>0.125</v>
      </c>
    </row>
    <row r="591" spans="2:14">
      <c r="B591" s="74" t="s">
        <v>44</v>
      </c>
      <c r="C591" s="11" t="s">
        <v>45</v>
      </c>
      <c r="D591" s="50"/>
      <c r="E591" s="50"/>
      <c r="F591" s="108">
        <f>F592+F648</f>
        <v>40724.699999999997</v>
      </c>
      <c r="G591" s="108">
        <f t="shared" ref="G591:H591" si="260">G592+G648</f>
        <v>14004.300000000001</v>
      </c>
      <c r="H591" s="108" t="e">
        <f t="shared" si="260"/>
        <v>#DIV/0!</v>
      </c>
      <c r="I591" s="32">
        <f>Ведомственная!G404+Ведомственная!G322</f>
        <v>40724.699999999997</v>
      </c>
      <c r="J591" s="32">
        <f>Ведомственная!H404+Ведомственная!H322</f>
        <v>40235.599999999999</v>
      </c>
      <c r="K591" s="32">
        <f>Ведомственная!I404+Ведомственная!I322</f>
        <v>1.9675185442031431</v>
      </c>
      <c r="L591" s="32">
        <f>I591-F591</f>
        <v>0</v>
      </c>
      <c r="M591" s="32">
        <f t="shared" ref="M591" si="261">J591-G591</f>
        <v>26231.299999999996</v>
      </c>
      <c r="N591" s="32" t="e">
        <f t="shared" ref="N591" si="262">K591-H591</f>
        <v>#DIV/0!</v>
      </c>
    </row>
    <row r="592" spans="2:14">
      <c r="B592" s="74" t="s">
        <v>46</v>
      </c>
      <c r="C592" s="11" t="s">
        <v>47</v>
      </c>
      <c r="D592" s="11" t="s">
        <v>12</v>
      </c>
      <c r="E592" s="11" t="s">
        <v>12</v>
      </c>
      <c r="F592" s="108">
        <f>F602+F607+F630+F618+F593</f>
        <v>38660.699999999997</v>
      </c>
      <c r="G592" s="108">
        <f t="shared" ref="G592:H592" si="263">G602+G607+G630+G618+G593</f>
        <v>12178.2</v>
      </c>
      <c r="H592" s="108" t="e">
        <f t="shared" si="263"/>
        <v>#DIV/0!</v>
      </c>
    </row>
    <row r="593" spans="2:8" ht="38.25">
      <c r="B593" s="104" t="s">
        <v>826</v>
      </c>
      <c r="C593" s="11" t="s">
        <v>47</v>
      </c>
      <c r="D593" s="11" t="s">
        <v>763</v>
      </c>
      <c r="E593" s="11"/>
      <c r="F593" s="108">
        <f>F596+F594+F601</f>
        <v>2898.6000000000004</v>
      </c>
      <c r="G593" s="108">
        <f t="shared" ref="G593:H593" si="264">G596+G594+G601</f>
        <v>2825.3</v>
      </c>
      <c r="H593" s="108" t="e">
        <f t="shared" si="264"/>
        <v>#DIV/0!</v>
      </c>
    </row>
    <row r="594" spans="2:8" ht="51">
      <c r="B594" s="105" t="s">
        <v>911</v>
      </c>
      <c r="C594" s="50" t="s">
        <v>47</v>
      </c>
      <c r="D594" s="50" t="s">
        <v>906</v>
      </c>
      <c r="E594" s="50"/>
      <c r="F594" s="110">
        <f>F595</f>
        <v>0</v>
      </c>
      <c r="G594" s="110">
        <f t="shared" ref="G594:H594" si="265">G595</f>
        <v>0</v>
      </c>
      <c r="H594" s="110" t="e">
        <f t="shared" si="265"/>
        <v>#DIV/0!</v>
      </c>
    </row>
    <row r="595" spans="2:8" ht="25.5">
      <c r="B595" s="15" t="s">
        <v>554</v>
      </c>
      <c r="C595" s="50" t="s">
        <v>47</v>
      </c>
      <c r="D595" s="50" t="s">
        <v>906</v>
      </c>
      <c r="E595" s="50" t="s">
        <v>31</v>
      </c>
      <c r="F595" s="110">
        <f>Ведомственная!G407</f>
        <v>0</v>
      </c>
      <c r="G595" s="110">
        <f>Ведомственная!H407</f>
        <v>0</v>
      </c>
      <c r="H595" s="110" t="e">
        <f>Ведомственная!I407</f>
        <v>#DIV/0!</v>
      </c>
    </row>
    <row r="596" spans="2:8" ht="25.5">
      <c r="B596" s="105" t="s">
        <v>767</v>
      </c>
      <c r="C596" s="50" t="s">
        <v>47</v>
      </c>
      <c r="D596" s="50" t="s">
        <v>764</v>
      </c>
      <c r="E596" s="11"/>
      <c r="F596" s="110">
        <f>F597+F598+F599+F600</f>
        <v>2825.3</v>
      </c>
      <c r="G596" s="110">
        <f t="shared" ref="G596:H596" si="266">G597+G598+G599+G600</f>
        <v>2825.3</v>
      </c>
      <c r="H596" s="110">
        <f t="shared" si="266"/>
        <v>4</v>
      </c>
    </row>
    <row r="597" spans="2:8" ht="25.5">
      <c r="B597" s="62" t="s">
        <v>30</v>
      </c>
      <c r="C597" s="50" t="s">
        <v>47</v>
      </c>
      <c r="D597" s="50" t="s">
        <v>885</v>
      </c>
      <c r="E597" s="50" t="s">
        <v>31</v>
      </c>
      <c r="F597" s="110">
        <f>Ведомственная!G410</f>
        <v>520.70000000000005</v>
      </c>
      <c r="G597" s="110">
        <f>Ведомственная!H410</f>
        <v>520.70000000000005</v>
      </c>
      <c r="H597" s="110">
        <f>Ведомственная!I410</f>
        <v>1</v>
      </c>
    </row>
    <row r="598" spans="2:8" ht="25.5">
      <c r="B598" s="15" t="s">
        <v>559</v>
      </c>
      <c r="C598" s="50" t="s">
        <v>47</v>
      </c>
      <c r="D598" s="50" t="s">
        <v>884</v>
      </c>
      <c r="E598" s="50" t="s">
        <v>31</v>
      </c>
      <c r="F598" s="110">
        <f>Ведомственная!G411</f>
        <v>2148.6</v>
      </c>
      <c r="G598" s="110">
        <f>Ведомственная!H411</f>
        <v>2148.6</v>
      </c>
      <c r="H598" s="110">
        <f>Ведомственная!I411</f>
        <v>1</v>
      </c>
    </row>
    <row r="599" spans="2:8" ht="25.5">
      <c r="B599" s="15" t="s">
        <v>554</v>
      </c>
      <c r="C599" s="50" t="s">
        <v>47</v>
      </c>
      <c r="D599" s="50" t="s">
        <v>884</v>
      </c>
      <c r="E599" s="50" t="s">
        <v>31</v>
      </c>
      <c r="F599" s="110">
        <f>Ведомственная!G412</f>
        <v>106</v>
      </c>
      <c r="G599" s="110">
        <f>Ведомственная!H412</f>
        <v>106</v>
      </c>
      <c r="H599" s="110">
        <f>Ведомственная!I412</f>
        <v>1</v>
      </c>
    </row>
    <row r="600" spans="2:8" ht="25.5">
      <c r="B600" s="105" t="s">
        <v>893</v>
      </c>
      <c r="C600" s="50" t="s">
        <v>47</v>
      </c>
      <c r="D600" s="50" t="s">
        <v>894</v>
      </c>
      <c r="E600" s="50" t="s">
        <v>31</v>
      </c>
      <c r="F600" s="110">
        <f>Ведомственная!G413</f>
        <v>50</v>
      </c>
      <c r="G600" s="110">
        <f>Ведомственная!H413</f>
        <v>50</v>
      </c>
      <c r="H600" s="110">
        <f>Ведомственная!I413</f>
        <v>1</v>
      </c>
    </row>
    <row r="601" spans="2:8" ht="25.5">
      <c r="B601" s="15" t="s">
        <v>554</v>
      </c>
      <c r="C601" s="50" t="s">
        <v>47</v>
      </c>
      <c r="D601" s="50" t="s">
        <v>907</v>
      </c>
      <c r="E601" s="50" t="s">
        <v>31</v>
      </c>
      <c r="F601" s="110">
        <f>Ведомственная!G414</f>
        <v>73.3</v>
      </c>
      <c r="G601" s="110">
        <f>Ведомственная!H414</f>
        <v>0</v>
      </c>
      <c r="H601" s="110">
        <f>Ведомственная!I414</f>
        <v>0</v>
      </c>
    </row>
    <row r="602" spans="2:8" s="6" customFormat="1" ht="25.5">
      <c r="B602" s="74" t="s">
        <v>765</v>
      </c>
      <c r="C602" s="11" t="s">
        <v>47</v>
      </c>
      <c r="D602" s="11" t="s">
        <v>170</v>
      </c>
      <c r="E602" s="11" t="s">
        <v>12</v>
      </c>
      <c r="F602" s="108">
        <f>F603</f>
        <v>8381.9</v>
      </c>
      <c r="G602" s="108">
        <f t="shared" ref="G602:H602" si="267">G603</f>
        <v>8205.7000000000007</v>
      </c>
      <c r="H602" s="108">
        <f t="shared" si="267"/>
        <v>2.2765190626802685</v>
      </c>
    </row>
    <row r="603" spans="2:8">
      <c r="B603" s="62" t="s">
        <v>103</v>
      </c>
      <c r="C603" s="50" t="s">
        <v>47</v>
      </c>
      <c r="D603" s="50" t="s">
        <v>171</v>
      </c>
      <c r="E603" s="50"/>
      <c r="F603" s="110">
        <f>F604+F605+F606</f>
        <v>8381.9</v>
      </c>
      <c r="G603" s="110">
        <f t="shared" ref="G603:H603" si="268">G604+G605+G606</f>
        <v>8205.7000000000007</v>
      </c>
      <c r="H603" s="110">
        <f t="shared" si="268"/>
        <v>2.2765190626802685</v>
      </c>
    </row>
    <row r="604" spans="2:8" ht="25.5">
      <c r="B604" s="62" t="s">
        <v>224</v>
      </c>
      <c r="C604" s="50" t="s">
        <v>47</v>
      </c>
      <c r="D604" s="50" t="s">
        <v>231</v>
      </c>
      <c r="E604" s="50" t="s">
        <v>31</v>
      </c>
      <c r="F604" s="110">
        <f>Ведомственная!G417</f>
        <v>6581.7999999999993</v>
      </c>
      <c r="G604" s="110">
        <f>Ведомственная!H417</f>
        <v>6581.8</v>
      </c>
      <c r="H604" s="110">
        <f>Ведомственная!I417</f>
        <v>1.0000000000000002</v>
      </c>
    </row>
    <row r="605" spans="2:8" ht="25.5">
      <c r="B605" s="62" t="s">
        <v>220</v>
      </c>
      <c r="C605" s="50" t="s">
        <v>47</v>
      </c>
      <c r="D605" s="50" t="s">
        <v>232</v>
      </c>
      <c r="E605" s="50" t="s">
        <v>135</v>
      </c>
      <c r="F605" s="110">
        <f>Ведомственная!G418</f>
        <v>1649.5</v>
      </c>
      <c r="G605" s="110">
        <f>Ведомственная!H418</f>
        <v>1575.5</v>
      </c>
      <c r="H605" s="110">
        <f>Ведомственная!I418</f>
        <v>0.95513792058199454</v>
      </c>
    </row>
    <row r="606" spans="2:8">
      <c r="B606" s="62" t="s">
        <v>222</v>
      </c>
      <c r="C606" s="50" t="s">
        <v>47</v>
      </c>
      <c r="D606" s="50" t="s">
        <v>233</v>
      </c>
      <c r="E606" s="50" t="s">
        <v>31</v>
      </c>
      <c r="F606" s="110">
        <f>Ведомственная!G419</f>
        <v>150.60000000000002</v>
      </c>
      <c r="G606" s="110">
        <f>Ведомственная!H419</f>
        <v>48.4</v>
      </c>
      <c r="H606" s="110">
        <f>Ведомственная!I419</f>
        <v>0.32138114209827351</v>
      </c>
    </row>
    <row r="607" spans="2:8" ht="25.5" hidden="1">
      <c r="B607" s="106" t="s">
        <v>444</v>
      </c>
      <c r="C607" s="11" t="s">
        <v>47</v>
      </c>
      <c r="D607" s="11" t="s">
        <v>423</v>
      </c>
      <c r="E607" s="11"/>
      <c r="F607" s="108">
        <f>F608+F614+F616</f>
        <v>0</v>
      </c>
      <c r="G607" s="108">
        <f t="shared" ref="G607:H607" si="269">G608+G614+G616</f>
        <v>0</v>
      </c>
      <c r="H607" s="108" t="e">
        <f t="shared" si="269"/>
        <v>#DIV/0!</v>
      </c>
    </row>
    <row r="608" spans="2:8" hidden="1">
      <c r="B608" s="62" t="s">
        <v>424</v>
      </c>
      <c r="C608" s="50" t="s">
        <v>47</v>
      </c>
      <c r="D608" s="50" t="s">
        <v>425</v>
      </c>
      <c r="E608" s="50"/>
      <c r="F608" s="110">
        <f>Ведомственная!G435</f>
        <v>0</v>
      </c>
      <c r="G608" s="110">
        <f>Ведомственная!H435</f>
        <v>0</v>
      </c>
      <c r="H608" s="110" t="e">
        <f>Ведомственная!I435</f>
        <v>#DIV/0!</v>
      </c>
    </row>
    <row r="609" spans="2:8" ht="51" hidden="1">
      <c r="B609" s="62" t="s">
        <v>17</v>
      </c>
      <c r="C609" s="50" t="s">
        <v>47</v>
      </c>
      <c r="D609" s="50" t="s">
        <v>426</v>
      </c>
      <c r="E609" s="50" t="s">
        <v>79</v>
      </c>
      <c r="F609" s="110">
        <f>Ведомственная!G436</f>
        <v>0</v>
      </c>
      <c r="G609" s="110">
        <f>Ведомственная!H436</f>
        <v>0</v>
      </c>
      <c r="H609" s="110" t="e">
        <f>Ведомственная!I436</f>
        <v>#DIV/0!</v>
      </c>
    </row>
    <row r="610" spans="2:8" hidden="1">
      <c r="B610" s="62" t="s">
        <v>19</v>
      </c>
      <c r="C610" s="50" t="s">
        <v>47</v>
      </c>
      <c r="D610" s="50" t="s">
        <v>427</v>
      </c>
      <c r="E610" s="50" t="s">
        <v>20</v>
      </c>
      <c r="F610" s="110">
        <f>Ведомственная!G437</f>
        <v>0</v>
      </c>
      <c r="G610" s="110">
        <f>Ведомственная!H437</f>
        <v>0</v>
      </c>
      <c r="H610" s="110" t="e">
        <f>Ведомственная!I437</f>
        <v>#DIV/0!</v>
      </c>
    </row>
    <row r="611" spans="2:8" hidden="1">
      <c r="B611" s="62" t="s">
        <v>21</v>
      </c>
      <c r="C611" s="50" t="s">
        <v>47</v>
      </c>
      <c r="D611" s="50" t="s">
        <v>428</v>
      </c>
      <c r="E611" s="50" t="s">
        <v>22</v>
      </c>
      <c r="F611" s="110">
        <f>Ведомственная!G438</f>
        <v>0</v>
      </c>
      <c r="G611" s="110">
        <f>Ведомственная!H438</f>
        <v>0</v>
      </c>
      <c r="H611" s="110" t="e">
        <f>Ведомственная!I438</f>
        <v>#DIV/0!</v>
      </c>
    </row>
    <row r="612" spans="2:8" ht="51" hidden="1">
      <c r="B612" s="62" t="s">
        <v>17</v>
      </c>
      <c r="C612" s="50" t="s">
        <v>47</v>
      </c>
      <c r="D612" s="50" t="s">
        <v>543</v>
      </c>
      <c r="E612" s="50" t="s">
        <v>18</v>
      </c>
      <c r="F612" s="110">
        <f>Ведомственная!G439</f>
        <v>0</v>
      </c>
      <c r="G612" s="110">
        <f>Ведомственная!H439</f>
        <v>0</v>
      </c>
      <c r="H612" s="110" t="e">
        <f>Ведомственная!I439</f>
        <v>#DIV/0!</v>
      </c>
    </row>
    <row r="613" spans="2:8" hidden="1">
      <c r="B613" s="62" t="s">
        <v>19</v>
      </c>
      <c r="C613" s="50" t="s">
        <v>47</v>
      </c>
      <c r="D613" s="50" t="s">
        <v>543</v>
      </c>
      <c r="E613" s="50" t="s">
        <v>20</v>
      </c>
      <c r="F613" s="110">
        <f>Ведомственная!G440</f>
        <v>0</v>
      </c>
      <c r="G613" s="110">
        <f>Ведомственная!H440</f>
        <v>0</v>
      </c>
      <c r="H613" s="110" t="e">
        <f>Ведомственная!I440</f>
        <v>#DIV/0!</v>
      </c>
    </row>
    <row r="614" spans="2:8" ht="25.5" hidden="1">
      <c r="B614" s="62" t="s">
        <v>434</v>
      </c>
      <c r="C614" s="50" t="s">
        <v>47</v>
      </c>
      <c r="D614" s="50" t="s">
        <v>429</v>
      </c>
      <c r="E614" s="50"/>
      <c r="F614" s="110">
        <f>Ведомственная!G441</f>
        <v>0</v>
      </c>
      <c r="G614" s="110">
        <f>Ведомственная!H441</f>
        <v>0</v>
      </c>
      <c r="H614" s="110" t="e">
        <f>Ведомственная!I441</f>
        <v>#DIV/0!</v>
      </c>
    </row>
    <row r="615" spans="2:8" hidden="1">
      <c r="B615" s="62" t="s">
        <v>19</v>
      </c>
      <c r="C615" s="50" t="s">
        <v>47</v>
      </c>
      <c r="D615" s="50" t="s">
        <v>430</v>
      </c>
      <c r="E615" s="50" t="s">
        <v>20</v>
      </c>
      <c r="F615" s="110">
        <f>Ведомственная!G442</f>
        <v>0</v>
      </c>
      <c r="G615" s="110">
        <f>Ведомственная!H442</f>
        <v>0</v>
      </c>
      <c r="H615" s="110" t="e">
        <f>Ведомственная!I442</f>
        <v>#DIV/0!</v>
      </c>
    </row>
    <row r="616" spans="2:8" hidden="1">
      <c r="B616" s="62" t="s">
        <v>433</v>
      </c>
      <c r="C616" s="50" t="s">
        <v>47</v>
      </c>
      <c r="D616" s="50" t="s">
        <v>431</v>
      </c>
      <c r="E616" s="50"/>
      <c r="F616" s="110">
        <f>Ведомственная!G443</f>
        <v>0</v>
      </c>
      <c r="G616" s="110">
        <f>Ведомственная!H443</f>
        <v>0</v>
      </c>
      <c r="H616" s="110" t="e">
        <f>Ведомственная!I443</f>
        <v>#DIV/0!</v>
      </c>
    </row>
    <row r="617" spans="2:8" hidden="1">
      <c r="B617" s="62" t="s">
        <v>19</v>
      </c>
      <c r="C617" s="50" t="s">
        <v>47</v>
      </c>
      <c r="D617" s="50" t="s">
        <v>432</v>
      </c>
      <c r="E617" s="50" t="s">
        <v>20</v>
      </c>
      <c r="F617" s="110">
        <f>Ведомственная!G444</f>
        <v>0</v>
      </c>
      <c r="G617" s="110">
        <f>Ведомственная!H444</f>
        <v>0</v>
      </c>
      <c r="H617" s="110" t="e">
        <f>Ведомственная!I444</f>
        <v>#DIV/0!</v>
      </c>
    </row>
    <row r="618" spans="2:8" s="6" customFormat="1">
      <c r="B618" s="74" t="s">
        <v>540</v>
      </c>
      <c r="C618" s="11" t="s">
        <v>47</v>
      </c>
      <c r="D618" s="11" t="s">
        <v>526</v>
      </c>
      <c r="E618" s="11"/>
      <c r="F618" s="108">
        <f>F620+F624+F625+F627+F629+F626+F628</f>
        <v>25687.3</v>
      </c>
      <c r="G618" s="108">
        <f t="shared" ref="G618:H618" si="270">G620+G624+G625+G627</f>
        <v>0</v>
      </c>
      <c r="H618" s="108" t="e">
        <f t="shared" si="270"/>
        <v>#DIV/0!</v>
      </c>
    </row>
    <row r="619" spans="2:8">
      <c r="B619" s="62" t="s">
        <v>541</v>
      </c>
      <c r="C619" s="50" t="s">
        <v>47</v>
      </c>
      <c r="D619" s="50" t="s">
        <v>531</v>
      </c>
      <c r="E619" s="50"/>
      <c r="F619" s="110">
        <f>Ведомственная!G325</f>
        <v>0</v>
      </c>
      <c r="G619" s="110">
        <f>Ведомственная!H325</f>
        <v>0</v>
      </c>
      <c r="H619" s="110" t="e">
        <f>Ведомственная!I325</f>
        <v>#DIV/0!</v>
      </c>
    </row>
    <row r="620" spans="2:8" ht="25.5" hidden="1">
      <c r="B620" s="62" t="s">
        <v>542</v>
      </c>
      <c r="C620" s="50" t="s">
        <v>47</v>
      </c>
      <c r="D620" s="50" t="s">
        <v>532</v>
      </c>
      <c r="E620" s="50"/>
      <c r="F620" s="110">
        <f>Ведомственная!G326</f>
        <v>0</v>
      </c>
      <c r="G620" s="110">
        <f>Ведомственная!H326</f>
        <v>0</v>
      </c>
      <c r="H620" s="110" t="e">
        <f>Ведомственная!I326</f>
        <v>#DIV/0!</v>
      </c>
    </row>
    <row r="621" spans="2:8" ht="25.5" hidden="1">
      <c r="B621" s="62" t="s">
        <v>405</v>
      </c>
      <c r="C621" s="50" t="s">
        <v>47</v>
      </c>
      <c r="D621" s="50" t="s">
        <v>532</v>
      </c>
      <c r="E621" s="50" t="s">
        <v>20</v>
      </c>
      <c r="F621" s="110">
        <f>Ведомственная!G327</f>
        <v>0</v>
      </c>
      <c r="G621" s="110">
        <f>Ведомственная!H327</f>
        <v>0</v>
      </c>
      <c r="H621" s="110" t="e">
        <f>Ведомственная!I327</f>
        <v>#DIV/0!</v>
      </c>
    </row>
    <row r="622" spans="2:8" ht="25.5" hidden="1">
      <c r="B622" s="62" t="s">
        <v>388</v>
      </c>
      <c r="C622" s="50" t="s">
        <v>47</v>
      </c>
      <c r="D622" s="50" t="s">
        <v>532</v>
      </c>
      <c r="E622" s="50" t="s">
        <v>20</v>
      </c>
      <c r="F622" s="110">
        <f>Ведомственная!G328</f>
        <v>0</v>
      </c>
      <c r="G622" s="110">
        <f>Ведомственная!H328</f>
        <v>0</v>
      </c>
      <c r="H622" s="110" t="e">
        <f>Ведомственная!I328</f>
        <v>#DIV/0!</v>
      </c>
    </row>
    <row r="623" spans="2:8" ht="25.5" hidden="1">
      <c r="B623" s="62" t="s">
        <v>387</v>
      </c>
      <c r="C623" s="50" t="s">
        <v>47</v>
      </c>
      <c r="D623" s="50" t="s">
        <v>532</v>
      </c>
      <c r="E623" s="50" t="s">
        <v>20</v>
      </c>
      <c r="F623" s="110">
        <f>Ведомственная!G329</f>
        <v>0</v>
      </c>
      <c r="G623" s="110">
        <f>Ведомственная!H329</f>
        <v>0</v>
      </c>
      <c r="H623" s="110" t="e">
        <f>Ведомственная!I329</f>
        <v>#DIV/0!</v>
      </c>
    </row>
    <row r="624" spans="2:8" ht="25.5">
      <c r="B624" s="62" t="s">
        <v>743</v>
      </c>
      <c r="C624" s="50" t="s">
        <v>47</v>
      </c>
      <c r="D624" s="50" t="s">
        <v>664</v>
      </c>
      <c r="E624" s="50" t="s">
        <v>265</v>
      </c>
      <c r="F624" s="110">
        <f>Ведомственная!G330</f>
        <v>0</v>
      </c>
      <c r="G624" s="110">
        <f>Ведомственная!H330</f>
        <v>0</v>
      </c>
      <c r="H624" s="110" t="e">
        <f>Ведомственная!I330</f>
        <v>#DIV/0!</v>
      </c>
    </row>
    <row r="625" spans="2:8" ht="38.25">
      <c r="B625" s="103" t="s">
        <v>744</v>
      </c>
      <c r="C625" s="50" t="s">
        <v>47</v>
      </c>
      <c r="D625" s="50" t="s">
        <v>665</v>
      </c>
      <c r="E625" s="50" t="s">
        <v>20</v>
      </c>
      <c r="F625" s="110">
        <f>Ведомственная!G331</f>
        <v>0</v>
      </c>
      <c r="G625" s="110">
        <f>Ведомственная!H331</f>
        <v>0</v>
      </c>
      <c r="H625" s="110" t="e">
        <f>Ведомственная!I331</f>
        <v>#DIV/0!</v>
      </c>
    </row>
    <row r="626" spans="2:8" s="137" customFormat="1" ht="38.25">
      <c r="B626" s="103" t="s">
        <v>744</v>
      </c>
      <c r="C626" s="50" t="s">
        <v>47</v>
      </c>
      <c r="D626" s="50" t="s">
        <v>843</v>
      </c>
      <c r="E626" s="50" t="s">
        <v>20</v>
      </c>
      <c r="F626" s="110">
        <f>Ведомственная!G332</f>
        <v>3237.5</v>
      </c>
      <c r="G626" s="110">
        <f>Ведомственная!H332</f>
        <v>3237.4</v>
      </c>
      <c r="H626" s="110">
        <f>Ведомственная!I332</f>
        <v>0.99996911196911198</v>
      </c>
    </row>
    <row r="627" spans="2:8" ht="25.5">
      <c r="B627" s="62" t="s">
        <v>779</v>
      </c>
      <c r="C627" s="50" t="s">
        <v>47</v>
      </c>
      <c r="D627" s="50" t="s">
        <v>814</v>
      </c>
      <c r="E627" s="50" t="s">
        <v>20</v>
      </c>
      <c r="F627" s="110">
        <f>Ведомственная!G333</f>
        <v>0</v>
      </c>
      <c r="G627" s="110">
        <f>Ведомственная!H333</f>
        <v>0</v>
      </c>
      <c r="H627" s="110" t="e">
        <f>Ведомственная!I333</f>
        <v>#DIV/0!</v>
      </c>
    </row>
    <row r="628" spans="2:8" ht="25.5">
      <c r="B628" s="62" t="s">
        <v>860</v>
      </c>
      <c r="C628" s="50" t="s">
        <v>47</v>
      </c>
      <c r="D628" s="50" t="s">
        <v>832</v>
      </c>
      <c r="E628" s="50" t="s">
        <v>20</v>
      </c>
      <c r="F628" s="110">
        <f>Ведомственная!G336</f>
        <v>907.7</v>
      </c>
      <c r="G628" s="110">
        <f>Ведомственная!H336</f>
        <v>907.7</v>
      </c>
      <c r="H628" s="110">
        <f>Ведомственная!I336</f>
        <v>1</v>
      </c>
    </row>
    <row r="629" spans="2:8" ht="25.5">
      <c r="B629" s="62" t="s">
        <v>859</v>
      </c>
      <c r="C629" s="50" t="s">
        <v>47</v>
      </c>
      <c r="D629" s="50" t="s">
        <v>832</v>
      </c>
      <c r="E629" s="50" t="s">
        <v>20</v>
      </c>
      <c r="F629" s="110">
        <f>Ведомственная!G337</f>
        <v>21542.1</v>
      </c>
      <c r="G629" s="110">
        <f>Ведомственная!H337</f>
        <v>21540.6</v>
      </c>
      <c r="H629" s="110">
        <f>Ведомственная!I337</f>
        <v>0.99993036890553844</v>
      </c>
    </row>
    <row r="630" spans="2:8">
      <c r="B630" s="62" t="s">
        <v>78</v>
      </c>
      <c r="C630" s="50" t="s">
        <v>47</v>
      </c>
      <c r="D630" s="50" t="s">
        <v>139</v>
      </c>
      <c r="E630" s="50"/>
      <c r="F630" s="110">
        <f>F631+F633+F635+F645+F637+F641+F643</f>
        <v>1692.8999999999996</v>
      </c>
      <c r="G630" s="110">
        <f>G631+G633+G635+G645</f>
        <v>1147.2</v>
      </c>
      <c r="H630" s="110" t="e">
        <f>H631+H633+H635+H645</f>
        <v>#DIV/0!</v>
      </c>
    </row>
    <row r="631" spans="2:8" ht="25.5" hidden="1">
      <c r="B631" s="62" t="s">
        <v>127</v>
      </c>
      <c r="C631" s="50" t="s">
        <v>47</v>
      </c>
      <c r="D631" s="50" t="s">
        <v>497</v>
      </c>
      <c r="E631" s="50"/>
      <c r="F631" s="110">
        <f>F632</f>
        <v>0</v>
      </c>
      <c r="G631" s="110">
        <f t="shared" ref="G631:H631" si="271">G632</f>
        <v>0</v>
      </c>
      <c r="H631" s="110" t="e">
        <f t="shared" si="271"/>
        <v>#DIV/0!</v>
      </c>
    </row>
    <row r="632" spans="2:8" ht="25.5" hidden="1">
      <c r="B632" s="62" t="s">
        <v>30</v>
      </c>
      <c r="C632" s="50" t="s">
        <v>47</v>
      </c>
      <c r="D632" s="50" t="s">
        <v>497</v>
      </c>
      <c r="E632" s="50" t="s">
        <v>20</v>
      </c>
      <c r="F632" s="110">
        <f>Ведомственная!G446</f>
        <v>0</v>
      </c>
      <c r="G632" s="110">
        <f>Ведомственная!H446</f>
        <v>0</v>
      </c>
      <c r="H632" s="110" t="e">
        <f>Ведомственная!I446</f>
        <v>#DIV/0!</v>
      </c>
    </row>
    <row r="633" spans="2:8" hidden="1">
      <c r="B633" s="62" t="s">
        <v>422</v>
      </c>
      <c r="C633" s="50" t="s">
        <v>47</v>
      </c>
      <c r="D633" s="50" t="s">
        <v>421</v>
      </c>
      <c r="E633" s="50"/>
      <c r="F633" s="110">
        <f>F634</f>
        <v>0</v>
      </c>
      <c r="G633" s="110">
        <f t="shared" ref="G633:H633" si="272">G634</f>
        <v>0</v>
      </c>
      <c r="H633" s="110" t="e">
        <f t="shared" si="272"/>
        <v>#DIV/0!</v>
      </c>
    </row>
    <row r="634" spans="2:8" hidden="1">
      <c r="B634" s="62" t="s">
        <v>398</v>
      </c>
      <c r="C634" s="50" t="s">
        <v>47</v>
      </c>
      <c r="D634" s="50" t="s">
        <v>421</v>
      </c>
      <c r="E634" s="50" t="s">
        <v>134</v>
      </c>
      <c r="F634" s="110">
        <f>Ведомственная!G335</f>
        <v>0</v>
      </c>
      <c r="G634" s="110">
        <f>Ведомственная!H335</f>
        <v>0</v>
      </c>
      <c r="H634" s="110" t="e">
        <f>Ведомственная!I335</f>
        <v>#DIV/0!</v>
      </c>
    </row>
    <row r="635" spans="2:8" ht="25.5" hidden="1">
      <c r="B635" s="62" t="s">
        <v>349</v>
      </c>
      <c r="C635" s="50" t="s">
        <v>47</v>
      </c>
      <c r="D635" s="50" t="s">
        <v>350</v>
      </c>
      <c r="E635" s="50"/>
      <c r="F635" s="110">
        <f>F636</f>
        <v>0</v>
      </c>
      <c r="G635" s="110">
        <f t="shared" ref="G635:H635" si="273">G636</f>
        <v>0</v>
      </c>
      <c r="H635" s="110" t="e">
        <f t="shared" si="273"/>
        <v>#DIV/0!</v>
      </c>
    </row>
    <row r="636" spans="2:8" ht="25.5" hidden="1">
      <c r="B636" s="62" t="s">
        <v>30</v>
      </c>
      <c r="C636" s="50" t="s">
        <v>47</v>
      </c>
      <c r="D636" s="50" t="s">
        <v>350</v>
      </c>
      <c r="E636" s="50" t="s">
        <v>31</v>
      </c>
      <c r="F636" s="110">
        <f>Ведомственная!G422</f>
        <v>0</v>
      </c>
      <c r="G636" s="110">
        <f>Ведомственная!H422</f>
        <v>0</v>
      </c>
      <c r="H636" s="110" t="e">
        <f>Ведомственная!I422</f>
        <v>#DIV/0!</v>
      </c>
    </row>
    <row r="637" spans="2:8">
      <c r="B637" s="15" t="s">
        <v>424</v>
      </c>
      <c r="C637" s="50" t="s">
        <v>47</v>
      </c>
      <c r="D637" s="50" t="s">
        <v>148</v>
      </c>
      <c r="E637" s="50"/>
      <c r="F637" s="110">
        <f>F638+F639+F640</f>
        <v>145.1</v>
      </c>
      <c r="G637" s="110">
        <f t="shared" ref="G637:H637" si="274">G638+G639+G640</f>
        <v>145.1</v>
      </c>
      <c r="H637" s="110" t="e">
        <f t="shared" si="274"/>
        <v>#DIV/0!</v>
      </c>
    </row>
    <row r="638" spans="2:8" ht="51">
      <c r="B638" s="15" t="s">
        <v>17</v>
      </c>
      <c r="C638" s="50" t="s">
        <v>47</v>
      </c>
      <c r="D638" s="50" t="s">
        <v>148</v>
      </c>
      <c r="E638" s="50" t="s">
        <v>18</v>
      </c>
      <c r="F638" s="110">
        <f>Ведомственная!G424</f>
        <v>145.1</v>
      </c>
      <c r="G638" s="110">
        <f>Ведомственная!H424</f>
        <v>145.1</v>
      </c>
      <c r="H638" s="110">
        <f>Ведомственная!I424</f>
        <v>1</v>
      </c>
    </row>
    <row r="639" spans="2:8">
      <c r="B639" s="15" t="s">
        <v>19</v>
      </c>
      <c r="C639" s="50" t="s">
        <v>47</v>
      </c>
      <c r="D639" s="50" t="s">
        <v>148</v>
      </c>
      <c r="E639" s="50" t="s">
        <v>20</v>
      </c>
      <c r="F639" s="110">
        <f>Ведомственная!G425</f>
        <v>0</v>
      </c>
      <c r="G639" s="110">
        <f>Ведомственная!H425</f>
        <v>0</v>
      </c>
      <c r="H639" s="110" t="e">
        <f>Ведомственная!I425</f>
        <v>#DIV/0!</v>
      </c>
    </row>
    <row r="640" spans="2:8">
      <c r="B640" s="15" t="s">
        <v>21</v>
      </c>
      <c r="C640" s="50" t="s">
        <v>47</v>
      </c>
      <c r="D640" s="50" t="s">
        <v>148</v>
      </c>
      <c r="E640" s="50" t="s">
        <v>22</v>
      </c>
      <c r="F640" s="110">
        <f>Ведомственная!G426</f>
        <v>0</v>
      </c>
      <c r="G640" s="110">
        <f>Ведомственная!H426</f>
        <v>0</v>
      </c>
      <c r="H640" s="110" t="e">
        <f>Ведомственная!I426</f>
        <v>#DIV/0!</v>
      </c>
    </row>
    <row r="641" spans="2:8">
      <c r="B641" s="15" t="s">
        <v>392</v>
      </c>
      <c r="C641" s="50" t="s">
        <v>47</v>
      </c>
      <c r="D641" s="50" t="s">
        <v>393</v>
      </c>
      <c r="E641" s="50"/>
      <c r="F641" s="110">
        <f>F642</f>
        <v>124</v>
      </c>
      <c r="G641" s="110">
        <f t="shared" ref="G641:H641" si="275">G642</f>
        <v>124</v>
      </c>
      <c r="H641" s="110">
        <f t="shared" si="275"/>
        <v>1</v>
      </c>
    </row>
    <row r="642" spans="2:8" ht="25.5">
      <c r="B642" s="15" t="s">
        <v>394</v>
      </c>
      <c r="C642" s="50" t="s">
        <v>47</v>
      </c>
      <c r="D642" s="50" t="s">
        <v>393</v>
      </c>
      <c r="E642" s="50" t="s">
        <v>31</v>
      </c>
      <c r="F642" s="110">
        <f>Ведомственная!G428</f>
        <v>124</v>
      </c>
      <c r="G642" s="110">
        <f>Ведомственная!H428</f>
        <v>124</v>
      </c>
      <c r="H642" s="110">
        <f>Ведомственная!I428</f>
        <v>1</v>
      </c>
    </row>
    <row r="643" spans="2:8">
      <c r="B643" s="15" t="s">
        <v>392</v>
      </c>
      <c r="C643" s="50" t="s">
        <v>47</v>
      </c>
      <c r="D643" s="50" t="s">
        <v>933</v>
      </c>
      <c r="E643" s="50"/>
      <c r="F643" s="110">
        <f>F644</f>
        <v>276.60000000000002</v>
      </c>
      <c r="G643" s="110">
        <f t="shared" ref="G643:H643" si="276">G644</f>
        <v>276.5</v>
      </c>
      <c r="H643" s="110">
        <f t="shared" si="276"/>
        <v>0.99963846710050608</v>
      </c>
    </row>
    <row r="644" spans="2:8" ht="25.5">
      <c r="B644" s="15" t="s">
        <v>394</v>
      </c>
      <c r="C644" s="50" t="s">
        <v>47</v>
      </c>
      <c r="D644" s="50" t="s">
        <v>933</v>
      </c>
      <c r="E644" s="50" t="s">
        <v>31</v>
      </c>
      <c r="F644" s="110">
        <f>Ведомственная!G430</f>
        <v>276.60000000000002</v>
      </c>
      <c r="G644" s="110">
        <f>Ведомственная!H430</f>
        <v>276.5</v>
      </c>
      <c r="H644" s="110">
        <f>Ведомственная!I430</f>
        <v>0.99963846710050608</v>
      </c>
    </row>
    <row r="645" spans="2:8" ht="25.5">
      <c r="B645" s="62" t="s">
        <v>127</v>
      </c>
      <c r="C645" s="50" t="s">
        <v>47</v>
      </c>
      <c r="D645" s="50" t="s">
        <v>316</v>
      </c>
      <c r="E645" s="50"/>
      <c r="F645" s="110">
        <f>F646+F647</f>
        <v>1147.1999999999998</v>
      </c>
      <c r="G645" s="110">
        <f t="shared" ref="G645:H645" si="277">G646+G647</f>
        <v>1147.2</v>
      </c>
      <c r="H645" s="110" t="e">
        <f t="shared" si="277"/>
        <v>#DIV/0!</v>
      </c>
    </row>
    <row r="646" spans="2:8" ht="25.5">
      <c r="B646" s="62" t="s">
        <v>30</v>
      </c>
      <c r="C646" s="50" t="s">
        <v>47</v>
      </c>
      <c r="D646" s="50" t="s">
        <v>316</v>
      </c>
      <c r="E646" s="50" t="s">
        <v>31</v>
      </c>
      <c r="F646" s="110">
        <f>Ведомственная!G432</f>
        <v>1147.1999999999998</v>
      </c>
      <c r="G646" s="110">
        <f>Ведомственная!H432</f>
        <v>1147.2</v>
      </c>
      <c r="H646" s="110">
        <f>Ведомственная!I432</f>
        <v>1.0000000000000002</v>
      </c>
    </row>
    <row r="647" spans="2:8">
      <c r="B647" s="62" t="s">
        <v>579</v>
      </c>
      <c r="C647" s="50" t="s">
        <v>47</v>
      </c>
      <c r="D647" s="50" t="s">
        <v>316</v>
      </c>
      <c r="E647" s="50" t="s">
        <v>22</v>
      </c>
      <c r="F647" s="110">
        <f>Ведомственная!G433</f>
        <v>0</v>
      </c>
      <c r="G647" s="110">
        <f>Ведомственная!H433</f>
        <v>0</v>
      </c>
      <c r="H647" s="110" t="e">
        <f>Ведомственная!I433</f>
        <v>#DIV/0!</v>
      </c>
    </row>
    <row r="648" spans="2:8">
      <c r="B648" s="74" t="s">
        <v>98</v>
      </c>
      <c r="C648" s="11" t="s">
        <v>63</v>
      </c>
      <c r="D648" s="11"/>
      <c r="E648" s="50"/>
      <c r="F648" s="108">
        <f>F649+F657+F653+F655</f>
        <v>2064</v>
      </c>
      <c r="G648" s="108">
        <f t="shared" ref="G648:H648" si="278">G649+G657+G653+G655</f>
        <v>1826.1</v>
      </c>
      <c r="H648" s="108" t="e">
        <f t="shared" si="278"/>
        <v>#DIV/0!</v>
      </c>
    </row>
    <row r="649" spans="2:8" ht="25.5">
      <c r="B649" s="62" t="s">
        <v>104</v>
      </c>
      <c r="C649" s="50" t="s">
        <v>63</v>
      </c>
      <c r="D649" s="50" t="s">
        <v>137</v>
      </c>
      <c r="E649" s="50"/>
      <c r="F649" s="110">
        <f>F650</f>
        <v>1900.8</v>
      </c>
      <c r="G649" s="110">
        <f t="shared" ref="G649:H649" si="279">G650</f>
        <v>1826</v>
      </c>
      <c r="H649" s="110">
        <f t="shared" si="279"/>
        <v>1.2530561504935074</v>
      </c>
    </row>
    <row r="650" spans="2:8">
      <c r="B650" s="62" t="s">
        <v>95</v>
      </c>
      <c r="C650" s="50" t="s">
        <v>63</v>
      </c>
      <c r="D650" s="50" t="s">
        <v>138</v>
      </c>
      <c r="E650" s="50"/>
      <c r="F650" s="110">
        <f>F651+F652</f>
        <v>1900.8</v>
      </c>
      <c r="G650" s="110">
        <f t="shared" ref="G650:H650" si="280">G651+G652</f>
        <v>1826</v>
      </c>
      <c r="H650" s="110">
        <f t="shared" si="280"/>
        <v>1.2530561504935074</v>
      </c>
    </row>
    <row r="651" spans="2:8" ht="51">
      <c r="B651" s="62" t="s">
        <v>17</v>
      </c>
      <c r="C651" s="50" t="s">
        <v>63</v>
      </c>
      <c r="D651" s="50" t="s">
        <v>138</v>
      </c>
      <c r="E651" s="50" t="s">
        <v>79</v>
      </c>
      <c r="F651" s="110">
        <f>Ведомственная!G450</f>
        <v>1865</v>
      </c>
      <c r="G651" s="110">
        <f>Ведомственная!H450</f>
        <v>1816</v>
      </c>
      <c r="H651" s="110">
        <f>Ведомственная!I450</f>
        <v>0.97372654155495975</v>
      </c>
    </row>
    <row r="652" spans="2:8">
      <c r="B652" s="62" t="s">
        <v>19</v>
      </c>
      <c r="C652" s="50" t="s">
        <v>63</v>
      </c>
      <c r="D652" s="50" t="s">
        <v>138</v>
      </c>
      <c r="E652" s="50" t="s">
        <v>20</v>
      </c>
      <c r="F652" s="110">
        <f>Ведомственная!G451</f>
        <v>35.799999999999997</v>
      </c>
      <c r="G652" s="110">
        <f>Ведомственная!H451</f>
        <v>10</v>
      </c>
      <c r="H652" s="110">
        <f>Ведомственная!I451</f>
        <v>0.27932960893854752</v>
      </c>
    </row>
    <row r="653" spans="2:8">
      <c r="B653" s="62" t="s">
        <v>100</v>
      </c>
      <c r="C653" s="50" t="s">
        <v>63</v>
      </c>
      <c r="D653" s="50" t="s">
        <v>151</v>
      </c>
      <c r="E653" s="50"/>
      <c r="F653" s="110">
        <f>F654</f>
        <v>13.2</v>
      </c>
      <c r="G653" s="110">
        <f t="shared" ref="G653:H653" si="281">G654</f>
        <v>0.1</v>
      </c>
      <c r="H653" s="110">
        <f t="shared" si="281"/>
        <v>7.5757575757575768E-3</v>
      </c>
    </row>
    <row r="654" spans="2:8">
      <c r="B654" s="62" t="s">
        <v>21</v>
      </c>
      <c r="C654" s="50" t="s">
        <v>63</v>
      </c>
      <c r="D654" s="50" t="s">
        <v>151</v>
      </c>
      <c r="E654" s="50" t="s">
        <v>22</v>
      </c>
      <c r="F654" s="110">
        <f>Ведомственная!G453</f>
        <v>13.2</v>
      </c>
      <c r="G654" s="110">
        <f>Ведомственная!H453</f>
        <v>0.1</v>
      </c>
      <c r="H654" s="110">
        <f>Ведомственная!I453</f>
        <v>7.5757575757575768E-3</v>
      </c>
    </row>
    <row r="655" spans="2:8" ht="25.5" hidden="1">
      <c r="B655" s="62" t="s">
        <v>597</v>
      </c>
      <c r="C655" s="50" t="s">
        <v>63</v>
      </c>
      <c r="D655" s="50" t="s">
        <v>144</v>
      </c>
      <c r="E655" s="50"/>
      <c r="F655" s="110">
        <f>F656</f>
        <v>0</v>
      </c>
      <c r="G655" s="110">
        <f t="shared" ref="G655:H655" si="282">G656</f>
        <v>0</v>
      </c>
      <c r="H655" s="110" t="e">
        <f t="shared" si="282"/>
        <v>#DIV/0!</v>
      </c>
    </row>
    <row r="656" spans="2:8" hidden="1">
      <c r="B656" s="62" t="s">
        <v>19</v>
      </c>
      <c r="C656" s="50" t="s">
        <v>63</v>
      </c>
      <c r="D656" s="50" t="s">
        <v>144</v>
      </c>
      <c r="E656" s="50" t="s">
        <v>20</v>
      </c>
      <c r="F656" s="110">
        <f>Ведомственная!G455</f>
        <v>0</v>
      </c>
      <c r="G656" s="110">
        <f>Ведомственная!H455</f>
        <v>0</v>
      </c>
      <c r="H656" s="110" t="e">
        <f>Ведомственная!I455</f>
        <v>#DIV/0!</v>
      </c>
    </row>
    <row r="657" spans="2:14" s="6" customFormat="1" ht="25.5">
      <c r="B657" s="104" t="s">
        <v>768</v>
      </c>
      <c r="C657" s="11" t="s">
        <v>63</v>
      </c>
      <c r="D657" s="11" t="s">
        <v>345</v>
      </c>
      <c r="E657" s="11"/>
      <c r="F657" s="108">
        <f>F658</f>
        <v>150</v>
      </c>
      <c r="G657" s="108">
        <f t="shared" ref="G657:H657" si="283">G658</f>
        <v>0</v>
      </c>
      <c r="H657" s="108">
        <f t="shared" si="283"/>
        <v>0</v>
      </c>
    </row>
    <row r="658" spans="2:14" ht="25.5">
      <c r="B658" s="62" t="s">
        <v>351</v>
      </c>
      <c r="C658" s="50" t="s">
        <v>63</v>
      </c>
      <c r="D658" s="50" t="s">
        <v>352</v>
      </c>
      <c r="E658" s="50" t="s">
        <v>20</v>
      </c>
      <c r="F658" s="110">
        <f>Ведомственная!G457</f>
        <v>150</v>
      </c>
      <c r="G658" s="110">
        <f>Ведомственная!H457</f>
        <v>0</v>
      </c>
      <c r="H658" s="110">
        <f>Ведомственная!I457</f>
        <v>0</v>
      </c>
    </row>
    <row r="659" spans="2:14">
      <c r="B659" s="74" t="s">
        <v>32</v>
      </c>
      <c r="C659" s="11" t="s">
        <v>33</v>
      </c>
      <c r="D659" s="11" t="s">
        <v>12</v>
      </c>
      <c r="E659" s="11" t="s">
        <v>12</v>
      </c>
      <c r="F659" s="108">
        <f>F660+F664+F676+F690</f>
        <v>22124.5</v>
      </c>
      <c r="G659" s="108">
        <f t="shared" ref="G659:H659" si="284">G660+G664+G676+G690</f>
        <v>21334.2</v>
      </c>
      <c r="H659" s="108" t="e">
        <f t="shared" si="284"/>
        <v>#DIV/0!</v>
      </c>
      <c r="I659" s="32">
        <f>Ведомственная!G338+Ведомственная!G459+Ведомственная!G755</f>
        <v>22124.5</v>
      </c>
      <c r="J659" s="32">
        <f>Ведомственная!H338+Ведомственная!H459+Ведомственная!H755</f>
        <v>21334.6</v>
      </c>
      <c r="K659" s="32">
        <f>Ведомственная!I338+Ведомственная!I459+Ведомственная!I755</f>
        <v>2.7950712529037869</v>
      </c>
      <c r="L659" s="32">
        <f>I659-F659</f>
        <v>0</v>
      </c>
      <c r="M659" s="32">
        <f t="shared" ref="M659" si="285">J659-G659</f>
        <v>0.39999999999781721</v>
      </c>
      <c r="N659" s="32" t="e">
        <f t="shared" ref="N659" si="286">K659-H659</f>
        <v>#DIV/0!</v>
      </c>
    </row>
    <row r="660" spans="2:14">
      <c r="B660" s="74" t="s">
        <v>83</v>
      </c>
      <c r="C660" s="11" t="s">
        <v>56</v>
      </c>
      <c r="D660" s="11"/>
      <c r="E660" s="11" t="s">
        <v>12</v>
      </c>
      <c r="F660" s="108">
        <f>F661</f>
        <v>830</v>
      </c>
      <c r="G660" s="108">
        <f t="shared" ref="G660:H662" si="287">G661</f>
        <v>790.1</v>
      </c>
      <c r="H660" s="108">
        <f t="shared" si="287"/>
        <v>0.95192771084337358</v>
      </c>
    </row>
    <row r="661" spans="2:14">
      <c r="B661" s="62" t="s">
        <v>78</v>
      </c>
      <c r="C661" s="50" t="s">
        <v>56</v>
      </c>
      <c r="D661" s="50" t="s">
        <v>139</v>
      </c>
      <c r="E661" s="50"/>
      <c r="F661" s="110">
        <f>F662</f>
        <v>830</v>
      </c>
      <c r="G661" s="110">
        <f t="shared" si="287"/>
        <v>790.1</v>
      </c>
      <c r="H661" s="110">
        <f t="shared" si="287"/>
        <v>0.95192771084337358</v>
      </c>
    </row>
    <row r="662" spans="2:14">
      <c r="B662" s="62" t="s">
        <v>115</v>
      </c>
      <c r="C662" s="50" t="s">
        <v>56</v>
      </c>
      <c r="D662" s="50" t="s">
        <v>163</v>
      </c>
      <c r="E662" s="50"/>
      <c r="F662" s="110">
        <f>F663</f>
        <v>830</v>
      </c>
      <c r="G662" s="110">
        <f t="shared" si="287"/>
        <v>790.1</v>
      </c>
      <c r="H662" s="110">
        <f t="shared" si="287"/>
        <v>0.95192771084337358</v>
      </c>
    </row>
    <row r="663" spans="2:14">
      <c r="B663" s="62" t="s">
        <v>25</v>
      </c>
      <c r="C663" s="50" t="s">
        <v>56</v>
      </c>
      <c r="D663" s="50" t="s">
        <v>163</v>
      </c>
      <c r="E663" s="50" t="s">
        <v>26</v>
      </c>
      <c r="F663" s="110">
        <f>Ведомственная!G342</f>
        <v>830</v>
      </c>
      <c r="G663" s="110">
        <f>Ведомственная!H342</f>
        <v>790.1</v>
      </c>
      <c r="H663" s="110">
        <f>Ведомственная!I342</f>
        <v>0.95192771084337358</v>
      </c>
    </row>
    <row r="664" spans="2:14">
      <c r="B664" s="74" t="s">
        <v>34</v>
      </c>
      <c r="C664" s="11" t="s">
        <v>35</v>
      </c>
      <c r="D664" s="11"/>
      <c r="E664" s="11"/>
      <c r="F664" s="108">
        <f>F665</f>
        <v>10234.1</v>
      </c>
      <c r="G664" s="108">
        <f t="shared" ref="G664:H664" si="288">G665</f>
        <v>9858.1</v>
      </c>
      <c r="H664" s="108" t="e">
        <f t="shared" si="288"/>
        <v>#DIV/0!</v>
      </c>
    </row>
    <row r="665" spans="2:14">
      <c r="B665" s="62" t="s">
        <v>76</v>
      </c>
      <c r="C665" s="50" t="s">
        <v>35</v>
      </c>
      <c r="D665" s="50" t="s">
        <v>139</v>
      </c>
      <c r="E665" s="50"/>
      <c r="F665" s="110">
        <f>F666+F668+F670+F673</f>
        <v>10234.1</v>
      </c>
      <c r="G665" s="110">
        <f t="shared" ref="G665:H665" si="289">G666+G668+G670+G673</f>
        <v>9858.1</v>
      </c>
      <c r="H665" s="110" t="e">
        <f t="shared" si="289"/>
        <v>#DIV/0!</v>
      </c>
    </row>
    <row r="666" spans="2:14" ht="51">
      <c r="B666" s="62" t="s">
        <v>122</v>
      </c>
      <c r="C666" s="50" t="s">
        <v>35</v>
      </c>
      <c r="D666" s="50" t="s">
        <v>177</v>
      </c>
      <c r="E666" s="50"/>
      <c r="F666" s="110">
        <f>F667</f>
        <v>3646.4000000000005</v>
      </c>
      <c r="G666" s="110">
        <f t="shared" ref="G666:H666" si="290">G667</f>
        <v>3646.4</v>
      </c>
      <c r="H666" s="110">
        <f t="shared" si="290"/>
        <v>0.99999999999999989</v>
      </c>
    </row>
    <row r="667" spans="2:14">
      <c r="B667" s="62" t="s">
        <v>25</v>
      </c>
      <c r="C667" s="50" t="s">
        <v>35</v>
      </c>
      <c r="D667" s="50" t="s">
        <v>177</v>
      </c>
      <c r="E667" s="50" t="s">
        <v>26</v>
      </c>
      <c r="F667" s="110">
        <f>Ведомственная!G759</f>
        <v>3646.4000000000005</v>
      </c>
      <c r="G667" s="110">
        <f>Ведомственная!H759</f>
        <v>3646.4</v>
      </c>
      <c r="H667" s="110">
        <f>Ведомственная!I759</f>
        <v>0.99999999999999989</v>
      </c>
    </row>
    <row r="668" spans="2:14" ht="51">
      <c r="B668" s="62" t="s">
        <v>123</v>
      </c>
      <c r="C668" s="50" t="s">
        <v>35</v>
      </c>
      <c r="D668" s="50" t="s">
        <v>178</v>
      </c>
      <c r="E668" s="50"/>
      <c r="F668" s="110">
        <f>F669</f>
        <v>103.80000000000001</v>
      </c>
      <c r="G668" s="110">
        <f t="shared" ref="G668:H668" si="291">G669</f>
        <v>83.8</v>
      </c>
      <c r="H668" s="110">
        <f t="shared" si="291"/>
        <v>0.80732177263969163</v>
      </c>
    </row>
    <row r="669" spans="2:14">
      <c r="B669" s="62" t="s">
        <v>25</v>
      </c>
      <c r="C669" s="50" t="s">
        <v>35</v>
      </c>
      <c r="D669" s="50" t="s">
        <v>178</v>
      </c>
      <c r="E669" s="50" t="s">
        <v>26</v>
      </c>
      <c r="F669" s="110">
        <f>Ведомственная!G761</f>
        <v>103.80000000000001</v>
      </c>
      <c r="G669" s="110">
        <f>Ведомственная!H761</f>
        <v>83.8</v>
      </c>
      <c r="H669" s="110">
        <f>Ведомственная!I761</f>
        <v>0.80732177263969163</v>
      </c>
    </row>
    <row r="670" spans="2:14" ht="51">
      <c r="B670" s="62" t="s">
        <v>106</v>
      </c>
      <c r="C670" s="50" t="s">
        <v>35</v>
      </c>
      <c r="D670" s="50" t="s">
        <v>172</v>
      </c>
      <c r="E670" s="50"/>
      <c r="F670" s="110">
        <f>F671+F672</f>
        <v>839.19999999999993</v>
      </c>
      <c r="G670" s="110">
        <f t="shared" ref="G670:H670" si="292">G671+G672</f>
        <v>575.5</v>
      </c>
      <c r="H670" s="110" t="e">
        <f t="shared" si="292"/>
        <v>#DIV/0!</v>
      </c>
    </row>
    <row r="671" spans="2:14">
      <c r="B671" s="62" t="s">
        <v>64</v>
      </c>
      <c r="C671" s="50" t="s">
        <v>35</v>
      </c>
      <c r="D671" s="50" t="s">
        <v>172</v>
      </c>
      <c r="E671" s="50" t="s">
        <v>26</v>
      </c>
      <c r="F671" s="110">
        <f>Ведомственная!G463</f>
        <v>839.19999999999993</v>
      </c>
      <c r="G671" s="110">
        <f>Ведомственная!H463</f>
        <v>575.5</v>
      </c>
      <c r="H671" s="110">
        <f>Ведомственная!I463</f>
        <v>0.68577216396568164</v>
      </c>
    </row>
    <row r="672" spans="2:14" ht="25.5" hidden="1">
      <c r="B672" s="62" t="s">
        <v>30</v>
      </c>
      <c r="C672" s="50" t="s">
        <v>35</v>
      </c>
      <c r="D672" s="50" t="s">
        <v>172</v>
      </c>
      <c r="E672" s="50" t="s">
        <v>31</v>
      </c>
      <c r="F672" s="110">
        <f>Ведомственная!G464</f>
        <v>0</v>
      </c>
      <c r="G672" s="110">
        <f>Ведомственная!H464</f>
        <v>0</v>
      </c>
      <c r="H672" s="110" t="e">
        <f>Ведомственная!I464</f>
        <v>#DIV/0!</v>
      </c>
    </row>
    <row r="673" spans="2:8" ht="25.5">
      <c r="B673" s="62" t="s">
        <v>116</v>
      </c>
      <c r="C673" s="50" t="s">
        <v>35</v>
      </c>
      <c r="D673" s="50" t="s">
        <v>165</v>
      </c>
      <c r="E673" s="50"/>
      <c r="F673" s="110">
        <f>F675+F674</f>
        <v>5644.7</v>
      </c>
      <c r="G673" s="110">
        <f t="shared" ref="G673:H673" si="293">G675+G674</f>
        <v>5552.4</v>
      </c>
      <c r="H673" s="110">
        <f t="shared" si="293"/>
        <v>1.5123198169453207</v>
      </c>
    </row>
    <row r="674" spans="2:8">
      <c r="B674" s="62" t="s">
        <v>19</v>
      </c>
      <c r="C674" s="50" t="s">
        <v>35</v>
      </c>
      <c r="D674" s="50" t="s">
        <v>165</v>
      </c>
      <c r="E674" s="50" t="s">
        <v>20</v>
      </c>
      <c r="F674" s="110">
        <f>Ведомственная!G346</f>
        <v>160</v>
      </c>
      <c r="G674" s="110">
        <f>Ведомственная!H346</f>
        <v>82.4</v>
      </c>
      <c r="H674" s="110">
        <f>Ведомственная!I346</f>
        <v>0.51500000000000001</v>
      </c>
    </row>
    <row r="675" spans="2:8">
      <c r="B675" s="62" t="s">
        <v>64</v>
      </c>
      <c r="C675" s="50" t="s">
        <v>35</v>
      </c>
      <c r="D675" s="50" t="s">
        <v>165</v>
      </c>
      <c r="E675" s="50" t="s">
        <v>26</v>
      </c>
      <c r="F675" s="110">
        <f>Ведомственная!G347</f>
        <v>5484.7</v>
      </c>
      <c r="G675" s="110">
        <f>Ведомственная!H347</f>
        <v>5470</v>
      </c>
      <c r="H675" s="110">
        <f>Ведомственная!I347</f>
        <v>0.99731981694532068</v>
      </c>
    </row>
    <row r="676" spans="2:8">
      <c r="B676" s="74" t="s">
        <v>48</v>
      </c>
      <c r="C676" s="11" t="s">
        <v>49</v>
      </c>
      <c r="D676" s="11" t="s">
        <v>12</v>
      </c>
      <c r="E676" s="11" t="s">
        <v>12</v>
      </c>
      <c r="F676" s="108">
        <f>F677+F685</f>
        <v>10427.299999999999</v>
      </c>
      <c r="G676" s="108">
        <f t="shared" ref="G676:H676" si="294">G677+G685</f>
        <v>10074.299999999999</v>
      </c>
      <c r="H676" s="108">
        <f t="shared" si="294"/>
        <v>5.9109363464761699</v>
      </c>
    </row>
    <row r="677" spans="2:8" s="6" customFormat="1">
      <c r="B677" s="62" t="s">
        <v>73</v>
      </c>
      <c r="C677" s="50" t="s">
        <v>49</v>
      </c>
      <c r="D677" s="50" t="s">
        <v>139</v>
      </c>
      <c r="E677" s="50" t="s">
        <v>12</v>
      </c>
      <c r="F677" s="110">
        <f>F678+F681+F683</f>
        <v>9540.2999999999993</v>
      </c>
      <c r="G677" s="110">
        <f t="shared" ref="G677:H677" si="295">G678+G681+G683</f>
        <v>9192.2999999999993</v>
      </c>
      <c r="H677" s="110">
        <f t="shared" si="295"/>
        <v>3.9252220607618842</v>
      </c>
    </row>
    <row r="678" spans="2:8" s="6" customFormat="1" ht="51">
      <c r="B678" s="62" t="s">
        <v>124</v>
      </c>
      <c r="C678" s="50" t="s">
        <v>49</v>
      </c>
      <c r="D678" s="50" t="s">
        <v>179</v>
      </c>
      <c r="E678" s="50"/>
      <c r="F678" s="110">
        <f>F680+F679</f>
        <v>770</v>
      </c>
      <c r="G678" s="110">
        <f t="shared" ref="G678:H678" si="296">G680+G679</f>
        <v>770</v>
      </c>
      <c r="H678" s="110">
        <f t="shared" si="296"/>
        <v>2</v>
      </c>
    </row>
    <row r="679" spans="2:8" s="6" customFormat="1">
      <c r="B679" s="62" t="s">
        <v>19</v>
      </c>
      <c r="C679" s="50" t="s">
        <v>49</v>
      </c>
      <c r="D679" s="50" t="s">
        <v>179</v>
      </c>
      <c r="E679" s="50" t="s">
        <v>20</v>
      </c>
      <c r="F679" s="110">
        <f>Ведомственная!G765</f>
        <v>8</v>
      </c>
      <c r="G679" s="110">
        <f>Ведомственная!H765</f>
        <v>8</v>
      </c>
      <c r="H679" s="110">
        <f>Ведомственная!I765</f>
        <v>1</v>
      </c>
    </row>
    <row r="680" spans="2:8" s="6" customFormat="1">
      <c r="B680" s="62" t="s">
        <v>25</v>
      </c>
      <c r="C680" s="50" t="s">
        <v>49</v>
      </c>
      <c r="D680" s="50" t="s">
        <v>179</v>
      </c>
      <c r="E680" s="50" t="s">
        <v>26</v>
      </c>
      <c r="F680" s="110">
        <f>Ведомственная!G766</f>
        <v>762</v>
      </c>
      <c r="G680" s="110">
        <f>Ведомственная!H766</f>
        <v>762</v>
      </c>
      <c r="H680" s="110">
        <f>Ведомственная!I766</f>
        <v>1</v>
      </c>
    </row>
    <row r="681" spans="2:8" s="6" customFormat="1">
      <c r="B681" s="62" t="s">
        <v>125</v>
      </c>
      <c r="C681" s="50" t="s">
        <v>49</v>
      </c>
      <c r="D681" s="50" t="s">
        <v>180</v>
      </c>
      <c r="E681" s="50"/>
      <c r="F681" s="110">
        <f>F682</f>
        <v>6100</v>
      </c>
      <c r="G681" s="110">
        <f t="shared" ref="G681:H681" si="297">G682</f>
        <v>5836.2</v>
      </c>
      <c r="H681" s="110">
        <f t="shared" si="297"/>
        <v>0.95675409836065572</v>
      </c>
    </row>
    <row r="682" spans="2:8" s="6" customFormat="1">
      <c r="B682" s="62" t="s">
        <v>25</v>
      </c>
      <c r="C682" s="50" t="s">
        <v>49</v>
      </c>
      <c r="D682" s="50" t="s">
        <v>180</v>
      </c>
      <c r="E682" s="50" t="s">
        <v>26</v>
      </c>
      <c r="F682" s="110">
        <f>Ведомственная!G768</f>
        <v>6100</v>
      </c>
      <c r="G682" s="110">
        <f>Ведомственная!H768</f>
        <v>5836.2</v>
      </c>
      <c r="H682" s="110">
        <f>Ведомственная!I768</f>
        <v>0.95675409836065572</v>
      </c>
    </row>
    <row r="683" spans="2:8" s="6" customFormat="1" ht="25.5">
      <c r="B683" s="62" t="s">
        <v>126</v>
      </c>
      <c r="C683" s="50" t="s">
        <v>49</v>
      </c>
      <c r="D683" s="50" t="s">
        <v>181</v>
      </c>
      <c r="E683" s="50"/>
      <c r="F683" s="110">
        <f>F684</f>
        <v>2670.2999999999997</v>
      </c>
      <c r="G683" s="110">
        <f t="shared" ref="G683:H683" si="298">G684</f>
        <v>2586.1</v>
      </c>
      <c r="H683" s="110">
        <f t="shared" si="298"/>
        <v>0.96846796240122834</v>
      </c>
    </row>
    <row r="684" spans="2:8" s="6" customFormat="1">
      <c r="B684" s="62" t="s">
        <v>25</v>
      </c>
      <c r="C684" s="50" t="s">
        <v>49</v>
      </c>
      <c r="D684" s="50" t="s">
        <v>181</v>
      </c>
      <c r="E684" s="50" t="s">
        <v>26</v>
      </c>
      <c r="F684" s="110">
        <f>Ведомственная!G770</f>
        <v>2670.2999999999997</v>
      </c>
      <c r="G684" s="110">
        <f>Ведомственная!H770</f>
        <v>2586.1</v>
      </c>
      <c r="H684" s="110">
        <f>Ведомственная!I770</f>
        <v>0.96846796240122834</v>
      </c>
    </row>
    <row r="685" spans="2:8" s="6" customFormat="1" ht="25.5">
      <c r="B685" s="139" t="s">
        <v>494</v>
      </c>
      <c r="C685" s="11" t="s">
        <v>49</v>
      </c>
      <c r="D685" s="11" t="s">
        <v>164</v>
      </c>
      <c r="E685" s="11"/>
      <c r="F685" s="108">
        <f t="shared" ref="F685:H686" si="299">F686</f>
        <v>887</v>
      </c>
      <c r="G685" s="108">
        <f t="shared" si="299"/>
        <v>882</v>
      </c>
      <c r="H685" s="108">
        <f t="shared" si="299"/>
        <v>1.9857142857142858</v>
      </c>
    </row>
    <row r="686" spans="2:8" s="6" customFormat="1" ht="25.5">
      <c r="B686" s="62" t="s">
        <v>391</v>
      </c>
      <c r="C686" s="50" t="s">
        <v>49</v>
      </c>
      <c r="D686" s="50" t="s">
        <v>400</v>
      </c>
      <c r="E686" s="50"/>
      <c r="F686" s="110">
        <f t="shared" si="299"/>
        <v>887</v>
      </c>
      <c r="G686" s="110">
        <f t="shared" si="299"/>
        <v>882</v>
      </c>
      <c r="H686" s="110">
        <f t="shared" si="299"/>
        <v>1.9857142857142858</v>
      </c>
    </row>
    <row r="687" spans="2:8" s="6" customFormat="1" ht="25.5">
      <c r="B687" s="62" t="s">
        <v>401</v>
      </c>
      <c r="C687" s="50" t="s">
        <v>49</v>
      </c>
      <c r="D687" s="50" t="s">
        <v>395</v>
      </c>
      <c r="E687" s="50"/>
      <c r="F687" s="110">
        <f>F688+F689</f>
        <v>887</v>
      </c>
      <c r="G687" s="110">
        <f t="shared" ref="G687:H687" si="300">G688+G689</f>
        <v>882</v>
      </c>
      <c r="H687" s="110">
        <f t="shared" si="300"/>
        <v>1.9857142857142858</v>
      </c>
    </row>
    <row r="688" spans="2:8" s="6" customFormat="1">
      <c r="B688" s="62" t="s">
        <v>402</v>
      </c>
      <c r="C688" s="50" t="s">
        <v>49</v>
      </c>
      <c r="D688" s="50" t="s">
        <v>395</v>
      </c>
      <c r="E688" s="50" t="s">
        <v>26</v>
      </c>
      <c r="F688" s="110">
        <f>Ведомственная!G469</f>
        <v>350</v>
      </c>
      <c r="G688" s="110">
        <f>Ведомственная!H469</f>
        <v>345</v>
      </c>
      <c r="H688" s="110">
        <f>Ведомственная!I469</f>
        <v>0.98571428571428577</v>
      </c>
    </row>
    <row r="689" spans="2:14" s="6" customFormat="1">
      <c r="B689" s="62" t="s">
        <v>594</v>
      </c>
      <c r="C689" s="50" t="s">
        <v>49</v>
      </c>
      <c r="D689" s="50" t="s">
        <v>395</v>
      </c>
      <c r="E689" s="50" t="s">
        <v>26</v>
      </c>
      <c r="F689" s="110">
        <f>Ведомственная!G470</f>
        <v>537</v>
      </c>
      <c r="G689" s="110">
        <f>Ведомственная!H470</f>
        <v>537</v>
      </c>
      <c r="H689" s="110">
        <f>Ведомственная!I470</f>
        <v>1</v>
      </c>
    </row>
    <row r="690" spans="2:14" s="6" customFormat="1">
      <c r="B690" s="74" t="s">
        <v>321</v>
      </c>
      <c r="C690" s="11" t="s">
        <v>322</v>
      </c>
      <c r="D690" s="11"/>
      <c r="E690" s="11"/>
      <c r="F690" s="108">
        <f>F691</f>
        <v>633.1</v>
      </c>
      <c r="G690" s="108">
        <f t="shared" ref="G690:H690" si="301">G691</f>
        <v>611.70000000000005</v>
      </c>
      <c r="H690" s="108">
        <f t="shared" si="301"/>
        <v>1.9055057833859097</v>
      </c>
    </row>
    <row r="691" spans="2:14" s="6" customFormat="1" ht="25.5">
      <c r="B691" s="62" t="s">
        <v>116</v>
      </c>
      <c r="C691" s="50" t="s">
        <v>322</v>
      </c>
      <c r="D691" s="50" t="s">
        <v>165</v>
      </c>
      <c r="E691" s="50"/>
      <c r="F691" s="110">
        <f>F692+F693</f>
        <v>633.1</v>
      </c>
      <c r="G691" s="110">
        <f t="shared" ref="G691:H691" si="302">G692+G693</f>
        <v>611.70000000000005</v>
      </c>
      <c r="H691" s="110">
        <f t="shared" si="302"/>
        <v>1.9055057833859097</v>
      </c>
    </row>
    <row r="692" spans="2:14" s="6" customFormat="1" ht="51">
      <c r="B692" s="62" t="s">
        <v>17</v>
      </c>
      <c r="C692" s="50" t="s">
        <v>322</v>
      </c>
      <c r="D692" s="50" t="s">
        <v>165</v>
      </c>
      <c r="E692" s="50" t="s">
        <v>18</v>
      </c>
      <c r="F692" s="110">
        <f>Ведомственная!G350</f>
        <v>570.6</v>
      </c>
      <c r="G692" s="110">
        <f>Ведомственная!H350</f>
        <v>553.20000000000005</v>
      </c>
      <c r="H692" s="110">
        <f>Ведомственная!I350</f>
        <v>0.96950578338590965</v>
      </c>
    </row>
    <row r="693" spans="2:14" s="6" customFormat="1">
      <c r="B693" s="62" t="s">
        <v>19</v>
      </c>
      <c r="C693" s="50" t="s">
        <v>322</v>
      </c>
      <c r="D693" s="50" t="s">
        <v>165</v>
      </c>
      <c r="E693" s="50" t="s">
        <v>20</v>
      </c>
      <c r="F693" s="110">
        <f>Ведомственная!G351</f>
        <v>62.5</v>
      </c>
      <c r="G693" s="110">
        <f>Ведомственная!H351</f>
        <v>58.5</v>
      </c>
      <c r="H693" s="110">
        <f>Ведомственная!I351</f>
        <v>0.93600000000000005</v>
      </c>
    </row>
    <row r="694" spans="2:14">
      <c r="B694" s="74" t="s">
        <v>84</v>
      </c>
      <c r="C694" s="11" t="s">
        <v>85</v>
      </c>
      <c r="D694" s="11"/>
      <c r="E694" s="11"/>
      <c r="F694" s="108">
        <f>F695</f>
        <v>62167.9</v>
      </c>
      <c r="G694" s="108">
        <f t="shared" ref="G694:H694" si="303">G695</f>
        <v>52428.200000000004</v>
      </c>
      <c r="H694" s="108" t="e">
        <f t="shared" si="303"/>
        <v>#DIV/0!</v>
      </c>
      <c r="I694" s="32">
        <f>Ведомственная!G352+Ведомственная!G471</f>
        <v>62167.9</v>
      </c>
      <c r="J694" s="32">
        <f>Ведомственная!H352+Ведомственная!H471</f>
        <v>53446.400000000001</v>
      </c>
      <c r="K694" s="32">
        <f>Ведомственная!I352+Ведомственная!I471</f>
        <v>1.7027598692352206</v>
      </c>
      <c r="L694" s="32">
        <f>I694-F694</f>
        <v>0</v>
      </c>
      <c r="M694" s="32">
        <f t="shared" ref="M694" si="304">J694-G694</f>
        <v>1018.1999999999971</v>
      </c>
      <c r="N694" s="32" t="e">
        <f t="shared" ref="N694" si="305">K694-H694</f>
        <v>#DIV/0!</v>
      </c>
    </row>
    <row r="695" spans="2:14">
      <c r="B695" s="74" t="s">
        <v>323</v>
      </c>
      <c r="C695" s="50" t="s">
        <v>324</v>
      </c>
      <c r="D695" s="50"/>
      <c r="E695" s="50"/>
      <c r="F695" s="110">
        <f>F696+F713</f>
        <v>62167.9</v>
      </c>
      <c r="G695" s="110">
        <f t="shared" ref="G695:H695" si="306">G696+G713</f>
        <v>52428.200000000004</v>
      </c>
      <c r="H695" s="110" t="e">
        <f t="shared" si="306"/>
        <v>#DIV/0!</v>
      </c>
    </row>
    <row r="696" spans="2:14" s="6" customFormat="1" ht="25.5">
      <c r="B696" s="104" t="s">
        <v>769</v>
      </c>
      <c r="C696" s="11" t="s">
        <v>324</v>
      </c>
      <c r="D696" s="11" t="s">
        <v>166</v>
      </c>
      <c r="E696" s="11"/>
      <c r="F696" s="108">
        <f>F697+F700+F702+F704+F706+F711</f>
        <v>3193.7</v>
      </c>
      <c r="G696" s="108">
        <f t="shared" ref="G696:H696" si="307">G697+G700+G702+G704+G706+G711</f>
        <v>605.4</v>
      </c>
      <c r="H696" s="108" t="e">
        <f t="shared" si="307"/>
        <v>#DIV/0!</v>
      </c>
    </row>
    <row r="697" spans="2:14" ht="25.5">
      <c r="B697" s="62" t="s">
        <v>320</v>
      </c>
      <c r="C697" s="50" t="s">
        <v>324</v>
      </c>
      <c r="D697" s="50" t="s">
        <v>301</v>
      </c>
      <c r="E697" s="50"/>
      <c r="F697" s="110">
        <f>F698+F699</f>
        <v>539.20000000000005</v>
      </c>
      <c r="G697" s="110">
        <f t="shared" ref="G697:H697" si="308">G698+G699</f>
        <v>199.9</v>
      </c>
      <c r="H697" s="110">
        <f t="shared" si="308"/>
        <v>0.69695899043137777</v>
      </c>
    </row>
    <row r="698" spans="2:14" ht="51">
      <c r="B698" s="62" t="s">
        <v>17</v>
      </c>
      <c r="C698" s="50" t="s">
        <v>324</v>
      </c>
      <c r="D698" s="50" t="s">
        <v>305</v>
      </c>
      <c r="E698" s="50" t="s">
        <v>18</v>
      </c>
      <c r="F698" s="110">
        <f>Ведомственная!G475</f>
        <v>292.2</v>
      </c>
      <c r="G698" s="110">
        <f>Ведомственная!H475</f>
        <v>179.4</v>
      </c>
      <c r="H698" s="110">
        <f>Ведомственная!I475</f>
        <v>0.61396303901437377</v>
      </c>
    </row>
    <row r="699" spans="2:14">
      <c r="B699" s="62" t="s">
        <v>19</v>
      </c>
      <c r="C699" s="50" t="s">
        <v>324</v>
      </c>
      <c r="D699" s="50" t="s">
        <v>305</v>
      </c>
      <c r="E699" s="50" t="s">
        <v>20</v>
      </c>
      <c r="F699" s="110">
        <f>Ведомственная!G476</f>
        <v>247</v>
      </c>
      <c r="G699" s="110">
        <f>Ведомственная!H476</f>
        <v>20.5</v>
      </c>
      <c r="H699" s="110">
        <f>Ведомственная!I476</f>
        <v>8.2995951417004055E-2</v>
      </c>
    </row>
    <row r="700" spans="2:14" ht="25.5">
      <c r="B700" s="62" t="s">
        <v>308</v>
      </c>
      <c r="C700" s="50" t="s">
        <v>324</v>
      </c>
      <c r="D700" s="50" t="s">
        <v>303</v>
      </c>
      <c r="E700" s="50"/>
      <c r="F700" s="110">
        <f>F701</f>
        <v>30</v>
      </c>
      <c r="G700" s="110">
        <f t="shared" ref="G700:H700" si="309">G701</f>
        <v>0</v>
      </c>
      <c r="H700" s="110">
        <f t="shared" si="309"/>
        <v>0</v>
      </c>
    </row>
    <row r="701" spans="2:14">
      <c r="B701" s="62" t="s">
        <v>19</v>
      </c>
      <c r="C701" s="50" t="s">
        <v>324</v>
      </c>
      <c r="D701" s="50" t="s">
        <v>306</v>
      </c>
      <c r="E701" s="50" t="s">
        <v>20</v>
      </c>
      <c r="F701" s="110">
        <f>Ведомственная!G478</f>
        <v>30</v>
      </c>
      <c r="G701" s="110">
        <f>Ведомственная!H478</f>
        <v>0</v>
      </c>
      <c r="H701" s="110">
        <f>Ведомственная!I478</f>
        <v>0</v>
      </c>
    </row>
    <row r="702" spans="2:14" ht="25.5">
      <c r="B702" s="62" t="s">
        <v>302</v>
      </c>
      <c r="C702" s="50" t="s">
        <v>324</v>
      </c>
      <c r="D702" s="50" t="s">
        <v>304</v>
      </c>
      <c r="E702" s="50"/>
      <c r="F702" s="110">
        <f>F703</f>
        <v>30</v>
      </c>
      <c r="G702" s="110">
        <f t="shared" ref="G702:H702" si="310">G703</f>
        <v>5.5</v>
      </c>
      <c r="H702" s="110">
        <f t="shared" si="310"/>
        <v>0.18333333333333332</v>
      </c>
    </row>
    <row r="703" spans="2:14">
      <c r="B703" s="62" t="s">
        <v>19</v>
      </c>
      <c r="C703" s="50" t="s">
        <v>324</v>
      </c>
      <c r="D703" s="50" t="s">
        <v>307</v>
      </c>
      <c r="E703" s="50" t="s">
        <v>20</v>
      </c>
      <c r="F703" s="110">
        <f>Ведомственная!G480</f>
        <v>30</v>
      </c>
      <c r="G703" s="110">
        <f>Ведомственная!H480</f>
        <v>5.5</v>
      </c>
      <c r="H703" s="110">
        <f>Ведомственная!I480</f>
        <v>0.18333333333333332</v>
      </c>
    </row>
    <row r="704" spans="2:14" ht="25.5">
      <c r="B704" s="15" t="s">
        <v>849</v>
      </c>
      <c r="C704" s="50" t="s">
        <v>324</v>
      </c>
      <c r="D704" s="50" t="s">
        <v>845</v>
      </c>
      <c r="E704" s="50"/>
      <c r="F704" s="110">
        <f>F705</f>
        <v>110</v>
      </c>
      <c r="G704" s="110">
        <f t="shared" ref="G704:H704" si="311">G705</f>
        <v>0</v>
      </c>
      <c r="H704" s="110">
        <f t="shared" si="311"/>
        <v>0</v>
      </c>
    </row>
    <row r="705" spans="2:8">
      <c r="B705" s="15" t="s">
        <v>19</v>
      </c>
      <c r="C705" s="50" t="s">
        <v>324</v>
      </c>
      <c r="D705" s="50" t="s">
        <v>845</v>
      </c>
      <c r="E705" s="50" t="s">
        <v>20</v>
      </c>
      <c r="F705" s="110">
        <f>Ведомственная!G482</f>
        <v>110</v>
      </c>
      <c r="G705" s="110">
        <f>Ведомственная!H482</f>
        <v>0</v>
      </c>
      <c r="H705" s="110">
        <f>Ведомственная!I482</f>
        <v>0</v>
      </c>
    </row>
    <row r="706" spans="2:8" ht="25.5">
      <c r="B706" s="15" t="s">
        <v>850</v>
      </c>
      <c r="C706" s="50" t="s">
        <v>324</v>
      </c>
      <c r="D706" s="50" t="s">
        <v>844</v>
      </c>
      <c r="E706" s="50"/>
      <c r="F706" s="110">
        <f>F707+F708+F709+F710</f>
        <v>2084</v>
      </c>
      <c r="G706" s="110">
        <f t="shared" ref="G706:H706" si="312">G707</f>
        <v>0</v>
      </c>
      <c r="H706" s="110" t="e">
        <f t="shared" si="312"/>
        <v>#DIV/0!</v>
      </c>
    </row>
    <row r="707" spans="2:8" ht="25.5">
      <c r="B707" s="62" t="s">
        <v>866</v>
      </c>
      <c r="C707" s="50" t="s">
        <v>324</v>
      </c>
      <c r="D707" s="50" t="s">
        <v>844</v>
      </c>
      <c r="E707" s="50" t="s">
        <v>265</v>
      </c>
      <c r="F707" s="110">
        <f>Ведомственная!G484</f>
        <v>0</v>
      </c>
      <c r="G707" s="110">
        <f>Ведомственная!H484</f>
        <v>0</v>
      </c>
      <c r="H707" s="110" t="e">
        <f>Ведомственная!I484</f>
        <v>#DIV/0!</v>
      </c>
    </row>
    <row r="708" spans="2:8" ht="25.5">
      <c r="B708" s="62" t="s">
        <v>867</v>
      </c>
      <c r="C708" s="50" t="s">
        <v>324</v>
      </c>
      <c r="D708" s="50" t="s">
        <v>844</v>
      </c>
      <c r="E708" s="50" t="s">
        <v>265</v>
      </c>
      <c r="F708" s="110">
        <f>Ведомственная!G485</f>
        <v>0</v>
      </c>
      <c r="G708" s="110">
        <f>Ведомственная!H485</f>
        <v>0</v>
      </c>
      <c r="H708" s="110" t="e">
        <f>Ведомственная!I485</f>
        <v>#DIV/0!</v>
      </c>
    </row>
    <row r="709" spans="2:8">
      <c r="B709" s="62" t="s">
        <v>19</v>
      </c>
      <c r="C709" s="50" t="s">
        <v>324</v>
      </c>
      <c r="D709" s="50" t="s">
        <v>844</v>
      </c>
      <c r="E709" s="50" t="s">
        <v>20</v>
      </c>
      <c r="F709" s="110">
        <f>Ведомственная!G486</f>
        <v>2042.3</v>
      </c>
      <c r="G709" s="110">
        <f>Ведомственная!H486</f>
        <v>2042.3</v>
      </c>
      <c r="H709" s="110">
        <f>Ведомственная!I486</f>
        <v>1</v>
      </c>
    </row>
    <row r="710" spans="2:8">
      <c r="B710" s="62" t="s">
        <v>19</v>
      </c>
      <c r="C710" s="50" t="s">
        <v>324</v>
      </c>
      <c r="D710" s="50" t="s">
        <v>844</v>
      </c>
      <c r="E710" s="50" t="s">
        <v>20</v>
      </c>
      <c r="F710" s="110">
        <f>Ведомственная!G487</f>
        <v>41.7</v>
      </c>
      <c r="G710" s="110">
        <f>Ведомственная!H487</f>
        <v>41.7</v>
      </c>
      <c r="H710" s="110">
        <f>Ведомственная!I487</f>
        <v>1</v>
      </c>
    </row>
    <row r="711" spans="2:8" ht="38.25">
      <c r="B711" s="62" t="s">
        <v>915</v>
      </c>
      <c r="C711" s="50" t="s">
        <v>324</v>
      </c>
      <c r="D711" s="50" t="s">
        <v>916</v>
      </c>
      <c r="E711" s="50"/>
      <c r="F711" s="110">
        <f>F712</f>
        <v>400.5</v>
      </c>
      <c r="G711" s="110">
        <f t="shared" ref="G711:H711" si="313">G712</f>
        <v>400</v>
      </c>
      <c r="H711" s="110">
        <f t="shared" si="313"/>
        <v>0.99875156054931336</v>
      </c>
    </row>
    <row r="712" spans="2:8">
      <c r="B712" s="15" t="s">
        <v>19</v>
      </c>
      <c r="C712" s="50" t="s">
        <v>324</v>
      </c>
      <c r="D712" s="50" t="s">
        <v>916</v>
      </c>
      <c r="E712" s="50" t="s">
        <v>20</v>
      </c>
      <c r="F712" s="110">
        <f>Ведомственная!G488</f>
        <v>400.5</v>
      </c>
      <c r="G712" s="110">
        <f>Ведомственная!H488</f>
        <v>400</v>
      </c>
      <c r="H712" s="110">
        <f>Ведомственная!I488</f>
        <v>0.99875156054931336</v>
      </c>
    </row>
    <row r="713" spans="2:8" s="6" customFormat="1">
      <c r="B713" s="74" t="s">
        <v>808</v>
      </c>
      <c r="C713" s="11" t="s">
        <v>324</v>
      </c>
      <c r="D713" s="11" t="s">
        <v>526</v>
      </c>
      <c r="E713" s="11"/>
      <c r="F713" s="108">
        <f>F714+F716</f>
        <v>58974.200000000004</v>
      </c>
      <c r="G713" s="108">
        <f t="shared" ref="G713:H713" si="314">G714+G716</f>
        <v>51822.8</v>
      </c>
      <c r="H713" s="108" t="e">
        <f t="shared" si="314"/>
        <v>#DIV/0!</v>
      </c>
    </row>
    <row r="714" spans="2:8" ht="31.5" customHeight="1">
      <c r="B714" s="62" t="s">
        <v>809</v>
      </c>
      <c r="C714" s="50" t="s">
        <v>324</v>
      </c>
      <c r="D714" s="50" t="s">
        <v>659</v>
      </c>
      <c r="E714" s="50"/>
      <c r="F714" s="110">
        <f>F715</f>
        <v>0</v>
      </c>
      <c r="G714" s="110">
        <f t="shared" ref="G714:H714" si="315">G715</f>
        <v>0</v>
      </c>
      <c r="H714" s="110" t="e">
        <f t="shared" si="315"/>
        <v>#DIV/0!</v>
      </c>
    </row>
    <row r="715" spans="2:8" ht="25.5">
      <c r="B715" s="62" t="s">
        <v>810</v>
      </c>
      <c r="C715" s="50" t="s">
        <v>324</v>
      </c>
      <c r="D715" s="50" t="s">
        <v>659</v>
      </c>
      <c r="E715" s="50" t="s">
        <v>265</v>
      </c>
      <c r="F715" s="110">
        <f>Ведомственная!G356</f>
        <v>0</v>
      </c>
      <c r="G715" s="110">
        <f>Ведомственная!H356</f>
        <v>0</v>
      </c>
      <c r="H715" s="110" t="e">
        <f>Ведомственная!I356</f>
        <v>#DIV/0!</v>
      </c>
    </row>
    <row r="716" spans="2:8" ht="25.5">
      <c r="B716" s="62" t="s">
        <v>830</v>
      </c>
      <c r="C716" s="50" t="s">
        <v>324</v>
      </c>
      <c r="D716" s="50" t="s">
        <v>831</v>
      </c>
      <c r="E716" s="50"/>
      <c r="F716" s="110">
        <f>F717+F720+F721+F718+F719</f>
        <v>58974.200000000004</v>
      </c>
      <c r="G716" s="110">
        <f t="shared" ref="G716:H716" si="316">G717+G720+G721+G718+G719</f>
        <v>51822.8</v>
      </c>
      <c r="H716" s="110">
        <f t="shared" si="316"/>
        <v>2.9757771052322584</v>
      </c>
    </row>
    <row r="717" spans="2:8" ht="25.5">
      <c r="B717" s="62" t="s">
        <v>868</v>
      </c>
      <c r="C717" s="50" t="s">
        <v>324</v>
      </c>
      <c r="D717" s="50" t="s">
        <v>831</v>
      </c>
      <c r="E717" s="50" t="s">
        <v>265</v>
      </c>
      <c r="F717" s="110">
        <f>Ведомственная!G358</f>
        <v>49695.700000000004</v>
      </c>
      <c r="G717" s="110">
        <f>Ведомственная!H357</f>
        <v>50757</v>
      </c>
      <c r="H717" s="110">
        <f>Ведомственная!I357</f>
        <v>0.86066449396515754</v>
      </c>
    </row>
    <row r="718" spans="2:8" ht="25.5">
      <c r="B718" s="62" t="s">
        <v>918</v>
      </c>
      <c r="C718" s="50" t="s">
        <v>324</v>
      </c>
      <c r="D718" s="50" t="s">
        <v>831</v>
      </c>
      <c r="E718" s="50" t="s">
        <v>265</v>
      </c>
      <c r="F718" s="110">
        <f>Ведомственная!G359</f>
        <v>248.5</v>
      </c>
      <c r="G718" s="110">
        <f>Ведомственная!H359</f>
        <v>248.5</v>
      </c>
      <c r="H718" s="110">
        <f>Ведомственная!I359</f>
        <v>1</v>
      </c>
    </row>
    <row r="719" spans="2:8" ht="25.5">
      <c r="B719" s="62" t="s">
        <v>931</v>
      </c>
      <c r="C719" s="50" t="s">
        <v>324</v>
      </c>
      <c r="D719" s="50" t="s">
        <v>831</v>
      </c>
      <c r="E719" s="50" t="s">
        <v>265</v>
      </c>
      <c r="F719" s="110">
        <f>Ведомственная!G360</f>
        <v>30</v>
      </c>
      <c r="G719" s="110">
        <f>Ведомственная!H360</f>
        <v>30</v>
      </c>
      <c r="H719" s="110">
        <f>Ведомственная!I360</f>
        <v>1</v>
      </c>
    </row>
    <row r="720" spans="2:8" ht="25.5">
      <c r="B720" s="62" t="s">
        <v>918</v>
      </c>
      <c r="C720" s="50" t="s">
        <v>324</v>
      </c>
      <c r="D720" s="50" t="s">
        <v>919</v>
      </c>
      <c r="E720" s="50" t="s">
        <v>265</v>
      </c>
      <c r="F720" s="110">
        <f>Ведомственная!G361</f>
        <v>8810</v>
      </c>
      <c r="G720" s="110">
        <f>Ведомственная!H361</f>
        <v>782.3</v>
      </c>
      <c r="H720" s="110">
        <f>Ведомственная!I361</f>
        <v>8.8796821793416567E-2</v>
      </c>
    </row>
    <row r="721" spans="2:14" s="137" customFormat="1" ht="25.5">
      <c r="B721" s="62" t="s">
        <v>918</v>
      </c>
      <c r="C721" s="50" t="s">
        <v>324</v>
      </c>
      <c r="D721" s="50" t="s">
        <v>920</v>
      </c>
      <c r="E721" s="50" t="s">
        <v>20</v>
      </c>
      <c r="F721" s="110">
        <f>Ведомственная!G362</f>
        <v>190</v>
      </c>
      <c r="G721" s="110">
        <f>Ведомственная!H362</f>
        <v>5</v>
      </c>
      <c r="H721" s="110">
        <f>Ведомственная!I362</f>
        <v>2.6315789473684209E-2</v>
      </c>
    </row>
    <row r="722" spans="2:14">
      <c r="B722" s="74" t="s">
        <v>86</v>
      </c>
      <c r="C722" s="11" t="s">
        <v>87</v>
      </c>
      <c r="D722" s="11"/>
      <c r="E722" s="11"/>
      <c r="F722" s="108">
        <f>F723+F731</f>
        <v>2046.8</v>
      </c>
      <c r="G722" s="108">
        <f t="shared" ref="G722:H722" si="317">G723+G731</f>
        <v>1826.9</v>
      </c>
      <c r="H722" s="108">
        <f t="shared" si="317"/>
        <v>3.4348666666666667</v>
      </c>
      <c r="I722" s="32">
        <f>Ведомственная!G363</f>
        <v>2046.8</v>
      </c>
      <c r="J722" s="32">
        <f>Ведомственная!H363</f>
        <v>1826.9</v>
      </c>
      <c r="K722" s="32">
        <f>Ведомственная!I363</f>
        <v>0.89256400234512412</v>
      </c>
      <c r="L722" s="32">
        <f>I722-F722</f>
        <v>0</v>
      </c>
      <c r="M722" s="32">
        <f t="shared" ref="M722" si="318">J722-G722</f>
        <v>0</v>
      </c>
      <c r="N722" s="32">
        <f t="shared" ref="N722" si="319">K722-H722</f>
        <v>-2.5423026643215425</v>
      </c>
    </row>
    <row r="723" spans="2:14">
      <c r="B723" s="74" t="s">
        <v>88</v>
      </c>
      <c r="C723" s="11" t="s">
        <v>55</v>
      </c>
      <c r="D723" s="11"/>
      <c r="E723" s="11"/>
      <c r="F723" s="108">
        <f t="shared" ref="F723:H729" si="320">F724</f>
        <v>2016.8</v>
      </c>
      <c r="G723" s="108">
        <f t="shared" si="320"/>
        <v>1800.9</v>
      </c>
      <c r="H723" s="108">
        <f t="shared" si="320"/>
        <v>2.5682</v>
      </c>
    </row>
    <row r="724" spans="2:14">
      <c r="B724" s="62" t="s">
        <v>78</v>
      </c>
      <c r="C724" s="50" t="s">
        <v>55</v>
      </c>
      <c r="D724" s="50" t="s">
        <v>139</v>
      </c>
      <c r="E724" s="50"/>
      <c r="F724" s="110">
        <f>F727+F725+F729</f>
        <v>2016.8</v>
      </c>
      <c r="G724" s="110">
        <f t="shared" ref="G724:H724" si="321">G727+G725+G729</f>
        <v>1800.9</v>
      </c>
      <c r="H724" s="110">
        <f t="shared" si="321"/>
        <v>2.5682</v>
      </c>
    </row>
    <row r="725" spans="2:14">
      <c r="B725" s="62" t="s">
        <v>117</v>
      </c>
      <c r="C725" s="50" t="s">
        <v>55</v>
      </c>
      <c r="D725" s="50" t="s">
        <v>407</v>
      </c>
      <c r="E725" s="50"/>
      <c r="F725" s="110">
        <f t="shared" si="320"/>
        <v>500</v>
      </c>
      <c r="G725" s="110">
        <f t="shared" si="320"/>
        <v>284.10000000000002</v>
      </c>
      <c r="H725" s="110">
        <f t="shared" si="320"/>
        <v>0.56820000000000004</v>
      </c>
    </row>
    <row r="726" spans="2:14" ht="25.5">
      <c r="B726" s="62" t="s">
        <v>513</v>
      </c>
      <c r="C726" s="50" t="s">
        <v>55</v>
      </c>
      <c r="D726" s="50" t="s">
        <v>407</v>
      </c>
      <c r="E726" s="50" t="s">
        <v>31</v>
      </c>
      <c r="F726" s="110">
        <f>Ведомственная!G367</f>
        <v>500</v>
      </c>
      <c r="G726" s="110">
        <f>Ведомственная!H367</f>
        <v>284.10000000000002</v>
      </c>
      <c r="H726" s="110">
        <f>Ведомственная!I367</f>
        <v>0.56820000000000004</v>
      </c>
    </row>
    <row r="727" spans="2:14">
      <c r="B727" s="62" t="s">
        <v>117</v>
      </c>
      <c r="C727" s="50" t="s">
        <v>55</v>
      </c>
      <c r="D727" s="50" t="s">
        <v>167</v>
      </c>
      <c r="E727" s="50"/>
      <c r="F727" s="110">
        <f t="shared" si="320"/>
        <v>650</v>
      </c>
      <c r="G727" s="110">
        <f t="shared" si="320"/>
        <v>650</v>
      </c>
      <c r="H727" s="110">
        <f t="shared" si="320"/>
        <v>1</v>
      </c>
    </row>
    <row r="728" spans="2:14" ht="25.5">
      <c r="B728" s="62" t="s">
        <v>30</v>
      </c>
      <c r="C728" s="50" t="s">
        <v>55</v>
      </c>
      <c r="D728" s="50" t="s">
        <v>167</v>
      </c>
      <c r="E728" s="50" t="s">
        <v>31</v>
      </c>
      <c r="F728" s="110">
        <f>Ведомственная!G369</f>
        <v>650</v>
      </c>
      <c r="G728" s="110">
        <f>Ведомственная!H369</f>
        <v>650</v>
      </c>
      <c r="H728" s="110">
        <f>Ведомственная!I369</f>
        <v>1</v>
      </c>
    </row>
    <row r="729" spans="2:14" ht="76.5">
      <c r="B729" s="102" t="s">
        <v>589</v>
      </c>
      <c r="C729" s="50" t="s">
        <v>55</v>
      </c>
      <c r="D729" s="50" t="s">
        <v>588</v>
      </c>
      <c r="E729" s="50"/>
      <c r="F729" s="110">
        <f t="shared" si="320"/>
        <v>866.8</v>
      </c>
      <c r="G729" s="110">
        <f t="shared" si="320"/>
        <v>866.8</v>
      </c>
      <c r="H729" s="110">
        <f t="shared" si="320"/>
        <v>1</v>
      </c>
    </row>
    <row r="730" spans="2:14" ht="25.5">
      <c r="B730" s="62" t="s">
        <v>30</v>
      </c>
      <c r="C730" s="50" t="s">
        <v>55</v>
      </c>
      <c r="D730" s="50" t="s">
        <v>588</v>
      </c>
      <c r="E730" s="50" t="s">
        <v>31</v>
      </c>
      <c r="F730" s="110">
        <f>Ведомственная!G371</f>
        <v>866.8</v>
      </c>
      <c r="G730" s="110">
        <f>Ведомственная!H371</f>
        <v>866.8</v>
      </c>
      <c r="H730" s="110">
        <f>Ведомственная!I371</f>
        <v>1</v>
      </c>
    </row>
    <row r="731" spans="2:14">
      <c r="B731" s="107" t="s">
        <v>823</v>
      </c>
      <c r="C731" s="11" t="s">
        <v>644</v>
      </c>
      <c r="D731" s="50"/>
      <c r="E731" s="50"/>
      <c r="F731" s="108">
        <f>F732</f>
        <v>30</v>
      </c>
      <c r="G731" s="108">
        <f t="shared" ref="G731:H732" si="322">G732</f>
        <v>26</v>
      </c>
      <c r="H731" s="108">
        <f t="shared" si="322"/>
        <v>0.8666666666666667</v>
      </c>
    </row>
    <row r="732" spans="2:14">
      <c r="B732" s="62" t="s">
        <v>78</v>
      </c>
      <c r="C732" s="50" t="s">
        <v>644</v>
      </c>
      <c r="D732" s="50" t="s">
        <v>139</v>
      </c>
      <c r="E732" s="11"/>
      <c r="F732" s="110">
        <f>F733</f>
        <v>30</v>
      </c>
      <c r="G732" s="110">
        <f t="shared" si="322"/>
        <v>26</v>
      </c>
      <c r="H732" s="110">
        <f t="shared" si="322"/>
        <v>0.8666666666666667</v>
      </c>
    </row>
    <row r="733" spans="2:14">
      <c r="B733" s="62" t="s">
        <v>774</v>
      </c>
      <c r="C733" s="50" t="s">
        <v>644</v>
      </c>
      <c r="D733" s="50" t="s">
        <v>645</v>
      </c>
      <c r="E733" s="50" t="s">
        <v>20</v>
      </c>
      <c r="F733" s="110">
        <f>Ведомственная!G374</f>
        <v>30</v>
      </c>
      <c r="G733" s="110">
        <f>Ведомственная!H374</f>
        <v>26</v>
      </c>
      <c r="H733" s="110">
        <f>Ведомственная!I374</f>
        <v>0.8666666666666667</v>
      </c>
    </row>
    <row r="734" spans="2:14" ht="25.5">
      <c r="B734" s="74" t="s">
        <v>828</v>
      </c>
      <c r="C734" s="11" t="s">
        <v>527</v>
      </c>
      <c r="D734" s="11"/>
      <c r="E734" s="11"/>
      <c r="F734" s="108">
        <f>F735</f>
        <v>300</v>
      </c>
      <c r="G734" s="108">
        <f t="shared" ref="G734:H734" si="323">G735</f>
        <v>54.1</v>
      </c>
      <c r="H734" s="108">
        <f t="shared" si="323"/>
        <v>0.18033333333333335</v>
      </c>
      <c r="I734" s="32">
        <f>Ведомственная!G375</f>
        <v>300</v>
      </c>
      <c r="J734" s="32">
        <f>Ведомственная!H375</f>
        <v>54.1</v>
      </c>
      <c r="K734" s="32">
        <f>Ведомственная!I375</f>
        <v>0.18033333333333335</v>
      </c>
      <c r="L734" s="32">
        <f>Ведомственная!J375</f>
        <v>0</v>
      </c>
      <c r="M734" s="32">
        <f t="shared" ref="M734" si="324">J734-G734</f>
        <v>0</v>
      </c>
      <c r="N734" s="32">
        <f t="shared" ref="N734" si="325">K734-H734</f>
        <v>0</v>
      </c>
    </row>
    <row r="735" spans="2:14">
      <c r="B735" s="74" t="s">
        <v>536</v>
      </c>
      <c r="C735" s="11" t="s">
        <v>528</v>
      </c>
      <c r="D735" s="11"/>
      <c r="E735" s="11"/>
      <c r="F735" s="108">
        <f t="shared" ref="F735:H737" si="326">F736</f>
        <v>300</v>
      </c>
      <c r="G735" s="108">
        <f t="shared" si="326"/>
        <v>54.1</v>
      </c>
      <c r="H735" s="108">
        <f t="shared" si="326"/>
        <v>0.18033333333333335</v>
      </c>
    </row>
    <row r="736" spans="2:14">
      <c r="B736" s="62" t="s">
        <v>829</v>
      </c>
      <c r="C736" s="50" t="s">
        <v>528</v>
      </c>
      <c r="D736" s="50" t="s">
        <v>139</v>
      </c>
      <c r="E736" s="50"/>
      <c r="F736" s="110">
        <f>F737</f>
        <v>300</v>
      </c>
      <c r="G736" s="110">
        <f t="shared" si="326"/>
        <v>54.1</v>
      </c>
      <c r="H736" s="110">
        <f t="shared" si="326"/>
        <v>0.18033333333333335</v>
      </c>
    </row>
    <row r="737" spans="2:14">
      <c r="B737" s="62" t="s">
        <v>538</v>
      </c>
      <c r="C737" s="50" t="s">
        <v>528</v>
      </c>
      <c r="D737" s="50" t="s">
        <v>529</v>
      </c>
      <c r="E737" s="50"/>
      <c r="F737" s="110">
        <f t="shared" si="326"/>
        <v>300</v>
      </c>
      <c r="G737" s="110">
        <f t="shared" si="326"/>
        <v>54.1</v>
      </c>
      <c r="H737" s="110">
        <f t="shared" si="326"/>
        <v>0.18033333333333335</v>
      </c>
    </row>
    <row r="738" spans="2:14">
      <c r="B738" s="62" t="s">
        <v>537</v>
      </c>
      <c r="C738" s="50" t="s">
        <v>528</v>
      </c>
      <c r="D738" s="50" t="s">
        <v>529</v>
      </c>
      <c r="E738" s="50" t="s">
        <v>530</v>
      </c>
      <c r="F738" s="110">
        <f>Ведомственная!G379</f>
        <v>300</v>
      </c>
      <c r="G738" s="110">
        <f>Ведомственная!H379</f>
        <v>54.1</v>
      </c>
      <c r="H738" s="110">
        <f>Ведомственная!I379</f>
        <v>0.18033333333333335</v>
      </c>
    </row>
    <row r="739" spans="2:14" ht="25.5">
      <c r="B739" s="74" t="s">
        <v>319</v>
      </c>
      <c r="C739" s="11" t="s">
        <v>132</v>
      </c>
      <c r="D739" s="11"/>
      <c r="E739" s="11"/>
      <c r="F739" s="108">
        <f>F740</f>
        <v>22016.799999999999</v>
      </c>
      <c r="G739" s="108">
        <f t="shared" ref="G739:H739" si="327">G740</f>
        <v>22016.7</v>
      </c>
      <c r="H739" s="108">
        <f t="shared" si="327"/>
        <v>2.9999792952089113</v>
      </c>
      <c r="I739" s="32">
        <f>Ведомственная!G784</f>
        <v>22016.799999999999</v>
      </c>
      <c r="J739" s="32">
        <f>Ведомственная!H784</f>
        <v>22016.7</v>
      </c>
      <c r="K739" s="32">
        <f>Ведомственная!I784</f>
        <v>0.99999545801388035</v>
      </c>
      <c r="L739" s="32">
        <f>I739-F739</f>
        <v>0</v>
      </c>
      <c r="M739" s="32">
        <f t="shared" ref="M739" si="328">J739-G739</f>
        <v>0</v>
      </c>
      <c r="N739" s="32">
        <f t="shared" ref="N739" si="329">K739-H739</f>
        <v>-1.9999838371950309</v>
      </c>
    </row>
    <row r="740" spans="2:14">
      <c r="B740" s="74" t="s">
        <v>131</v>
      </c>
      <c r="C740" s="11" t="s">
        <v>133</v>
      </c>
      <c r="D740" s="11"/>
      <c r="E740" s="11"/>
      <c r="F740" s="108">
        <f t="shared" ref="F740:H740" si="330">F741</f>
        <v>22016.799999999999</v>
      </c>
      <c r="G740" s="108">
        <f t="shared" si="330"/>
        <v>22016.7</v>
      </c>
      <c r="H740" s="108">
        <f t="shared" si="330"/>
        <v>2.9999792952089113</v>
      </c>
    </row>
    <row r="741" spans="2:14" ht="25.5">
      <c r="B741" s="103" t="s">
        <v>129</v>
      </c>
      <c r="C741" s="50" t="s">
        <v>133</v>
      </c>
      <c r="D741" s="50" t="s">
        <v>139</v>
      </c>
      <c r="E741" s="50"/>
      <c r="F741" s="110">
        <f>F742+F743+F744</f>
        <v>22016.799999999999</v>
      </c>
      <c r="G741" s="110">
        <f t="shared" ref="G741:H741" si="331">G742+G743+G744</f>
        <v>22016.7</v>
      </c>
      <c r="H741" s="110">
        <f t="shared" si="331"/>
        <v>2.9999792952089113</v>
      </c>
    </row>
    <row r="742" spans="2:14" ht="25.5">
      <c r="B742" s="62" t="s">
        <v>334</v>
      </c>
      <c r="C742" s="50" t="s">
        <v>133</v>
      </c>
      <c r="D742" s="50" t="s">
        <v>335</v>
      </c>
      <c r="E742" s="50" t="s">
        <v>134</v>
      </c>
      <c r="F742" s="110">
        <f>Ведомственная!G787</f>
        <v>17015</v>
      </c>
      <c r="G742" s="110">
        <f>Ведомственная!H787</f>
        <v>17015</v>
      </c>
      <c r="H742" s="110">
        <f>Ведомственная!I787</f>
        <v>1</v>
      </c>
    </row>
    <row r="743" spans="2:14">
      <c r="B743" s="62" t="s">
        <v>336</v>
      </c>
      <c r="C743" s="50" t="s">
        <v>133</v>
      </c>
      <c r="D743" s="50" t="s">
        <v>183</v>
      </c>
      <c r="E743" s="50" t="s">
        <v>134</v>
      </c>
      <c r="F743" s="110">
        <f>Ведомственная!G788</f>
        <v>4829.8</v>
      </c>
      <c r="G743" s="110">
        <f>Ведомственная!H788</f>
        <v>4829.7</v>
      </c>
      <c r="H743" s="110">
        <f>Ведомственная!I788</f>
        <v>0.99997929520891127</v>
      </c>
    </row>
    <row r="744" spans="2:14" ht="25.5">
      <c r="B744" s="62" t="s">
        <v>576</v>
      </c>
      <c r="C744" s="50" t="s">
        <v>133</v>
      </c>
      <c r="D744" s="50" t="s">
        <v>577</v>
      </c>
      <c r="E744" s="50" t="s">
        <v>134</v>
      </c>
      <c r="F744" s="110">
        <f>Ведомственная!G789</f>
        <v>172</v>
      </c>
      <c r="G744" s="110">
        <f>Ведомственная!H789</f>
        <v>172</v>
      </c>
      <c r="H744" s="110">
        <f>Ведомственная!I789</f>
        <v>1</v>
      </c>
    </row>
    <row r="745" spans="2:14">
      <c r="B745" s="75" t="s">
        <v>60</v>
      </c>
      <c r="C745" s="71"/>
      <c r="D745" s="51"/>
      <c r="E745" s="51"/>
      <c r="F745" s="109">
        <f>F9+F103+F140+F194+F263+F270+F591+F659+F694+F722+F739+F734</f>
        <v>627635.50000000012</v>
      </c>
      <c r="G745" s="109">
        <f>G9+G103+G140+G194+G263+G270+G591+G659+G694+G722+G739+G734</f>
        <v>553535.19999999984</v>
      </c>
      <c r="H745" s="109" t="e">
        <f>H9+H103+H140+H194+H263+H270+H591+H659+H694+H722+H739+H734</f>
        <v>#DIV/0!</v>
      </c>
    </row>
    <row r="746" spans="2:14">
      <c r="B746" s="74" t="s">
        <v>191</v>
      </c>
      <c r="C746" s="71"/>
      <c r="D746" s="51"/>
      <c r="E746" s="51"/>
      <c r="F746" s="119">
        <v>-26086.1</v>
      </c>
      <c r="G746" s="109">
        <v>-112.3</v>
      </c>
      <c r="H746" s="109">
        <v>0</v>
      </c>
    </row>
    <row r="747" spans="2:14">
      <c r="B747" s="74" t="s">
        <v>192</v>
      </c>
      <c r="C747" s="71"/>
      <c r="D747" s="51"/>
      <c r="E747" s="51"/>
      <c r="F747" s="109">
        <v>0</v>
      </c>
      <c r="G747" s="109">
        <v>0</v>
      </c>
      <c r="H747" s="109">
        <v>4619.1000000000004</v>
      </c>
    </row>
    <row r="748" spans="2:14">
      <c r="B748" s="76"/>
    </row>
    <row r="749" spans="2:14">
      <c r="F749" s="111">
        <f>F745-Ведомственная!G803</f>
        <v>0</v>
      </c>
      <c r="G749" s="111">
        <f>G745-Ведомственная!H803</f>
        <v>-29002.500000000116</v>
      </c>
      <c r="H749" s="111" t="e">
        <f>H745-Ведомственная!I803</f>
        <v>#DIV/0!</v>
      </c>
    </row>
    <row r="750" spans="2:14">
      <c r="B750" s="76"/>
      <c r="C750" s="78"/>
      <c r="D750" s="78"/>
      <c r="E750" s="78"/>
      <c r="F750" s="112"/>
    </row>
    <row r="751" spans="2:14">
      <c r="B751" s="76"/>
      <c r="C751" s="78"/>
      <c r="D751" s="78"/>
      <c r="E751" s="78"/>
      <c r="F751" s="112"/>
    </row>
  </sheetData>
  <protectedRanges>
    <protectedRange password="C71F" sqref="G215:H215" name="Диапазон1"/>
    <protectedRange password="C71F" sqref="G216:H216" name="Диапазон1_1"/>
  </protectedRanges>
  <mergeCells count="10">
    <mergeCell ref="D1:H3"/>
    <mergeCell ref="B4:H4"/>
    <mergeCell ref="G6:G7"/>
    <mergeCell ref="H6:H7"/>
    <mergeCell ref="B6:B7"/>
    <mergeCell ref="E6:E7"/>
    <mergeCell ref="D6:D7"/>
    <mergeCell ref="C6:C7"/>
    <mergeCell ref="F6:F7"/>
    <mergeCell ref="F5:H5"/>
  </mergeCells>
  <phoneticPr fontId="1" type="noConversion"/>
  <pageMargins left="0.70866141732283472" right="0.11811023622047245" top="0.35433070866141736" bottom="0.15748031496062992" header="0.31496062992125984" footer="0.31496062992125984"/>
  <pageSetup paperSize="9" scale="78" fitToHeight="0" orientation="portrait" r:id="rId1"/>
  <rowBreaks count="14" manualBreakCount="14">
    <brk id="48" min="1" max="7" man="1"/>
    <brk id="107" min="1" max="7" man="1"/>
    <brk id="159" min="1" max="7" man="1"/>
    <brk id="210" min="1" max="7" man="1"/>
    <brk id="263" min="1" max="7" man="1"/>
    <brk id="311" min="1" max="7" man="1"/>
    <brk id="374" min="1" max="7" man="1"/>
    <brk id="419" min="1" max="7" man="1"/>
    <brk id="456" min="1" max="7" man="1"/>
    <brk id="497" min="1" max="7" man="1"/>
    <brk id="544" min="1" max="7" man="1"/>
    <brk id="592" min="1" max="7" man="1"/>
    <brk id="662" min="1" max="7" man="1"/>
    <brk id="710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/>
    <pageSetUpPr fitToPage="1"/>
  </sheetPr>
  <dimension ref="A1:T813"/>
  <sheetViews>
    <sheetView tabSelected="1" view="pageBreakPreview" zoomScaleSheetLayoutView="100" workbookViewId="0">
      <selection activeCell="B2" sqref="B2"/>
    </sheetView>
  </sheetViews>
  <sheetFormatPr defaultColWidth="9.140625" defaultRowHeight="12.75"/>
  <cols>
    <col min="1" max="1" width="0.140625" style="4" customWidth="1"/>
    <col min="2" max="2" width="71.7109375" style="206" customWidth="1"/>
    <col min="3" max="3" width="7.140625" style="70" customWidth="1"/>
    <col min="4" max="4" width="7.7109375" style="70" customWidth="1"/>
    <col min="5" max="5" width="13.5703125" style="70" customWidth="1"/>
    <col min="6" max="6" width="8" style="70" customWidth="1"/>
    <col min="7" max="7" width="9.42578125" style="53" customWidth="1"/>
    <col min="8" max="8" width="10.140625" style="53" customWidth="1"/>
    <col min="9" max="9" width="10" style="53" customWidth="1"/>
    <col min="10" max="10" width="7.5703125" style="4" customWidth="1"/>
    <col min="11" max="11" width="17.28515625" style="4" customWidth="1"/>
    <col min="12" max="12" width="15.42578125" style="4" customWidth="1"/>
    <col min="13" max="13" width="15.140625" style="4" customWidth="1"/>
    <col min="14" max="14" width="12.85546875" style="59" customWidth="1"/>
    <col min="15" max="16" width="16" style="59" customWidth="1"/>
    <col min="17" max="16384" width="9.140625" style="4"/>
  </cols>
  <sheetData>
    <row r="1" spans="2:16" ht="12" customHeight="1">
      <c r="B1" s="4"/>
      <c r="C1" s="205"/>
      <c r="D1" s="205"/>
      <c r="E1" s="237" t="s">
        <v>946</v>
      </c>
      <c r="F1" s="237"/>
      <c r="G1" s="237"/>
      <c r="H1" s="237"/>
      <c r="I1" s="238"/>
      <c r="J1" s="42" t="s">
        <v>691</v>
      </c>
      <c r="K1" s="240" t="s">
        <v>692</v>
      </c>
      <c r="L1" s="241"/>
      <c r="M1" s="242"/>
      <c r="N1" s="243" t="s">
        <v>693</v>
      </c>
      <c r="O1" s="244"/>
      <c r="P1" s="244"/>
    </row>
    <row r="2" spans="2:16" ht="12" customHeight="1">
      <c r="B2" s="73"/>
      <c r="E2" s="237"/>
      <c r="F2" s="237"/>
      <c r="G2" s="237"/>
      <c r="H2" s="237"/>
      <c r="I2" s="238"/>
      <c r="J2" s="42"/>
      <c r="K2" s="42">
        <v>2021</v>
      </c>
      <c r="L2" s="42">
        <v>2022</v>
      </c>
      <c r="M2" s="42">
        <v>2023</v>
      </c>
      <c r="N2" s="57">
        <v>2021</v>
      </c>
      <c r="O2" s="57">
        <v>2022</v>
      </c>
      <c r="P2" s="57">
        <v>2023</v>
      </c>
    </row>
    <row r="3" spans="2:16" hidden="1">
      <c r="B3" s="37"/>
      <c r="E3" s="237"/>
      <c r="F3" s="237"/>
      <c r="G3" s="237"/>
      <c r="H3" s="237"/>
      <c r="I3" s="238"/>
      <c r="J3" s="42"/>
      <c r="K3" s="42"/>
      <c r="L3" s="42"/>
      <c r="M3" s="42"/>
      <c r="N3" s="57"/>
      <c r="O3" s="57"/>
      <c r="P3" s="57"/>
    </row>
    <row r="4" spans="2:16" ht="25.5" customHeight="1">
      <c r="B4" s="229" t="s">
        <v>942</v>
      </c>
      <c r="C4" s="245"/>
      <c r="D4" s="245"/>
      <c r="E4" s="245"/>
      <c r="F4" s="245"/>
      <c r="G4" s="245"/>
      <c r="H4" s="245"/>
      <c r="I4" s="245"/>
      <c r="J4" s="42"/>
      <c r="K4" s="42"/>
      <c r="L4" s="42"/>
      <c r="M4" s="42"/>
      <c r="N4" s="57"/>
      <c r="O4" s="57"/>
      <c r="P4" s="57"/>
    </row>
    <row r="5" spans="2:16">
      <c r="B5" s="201"/>
      <c r="C5" s="201"/>
      <c r="D5" s="201"/>
      <c r="E5" s="201"/>
      <c r="F5" s="201"/>
      <c r="G5" s="250" t="s">
        <v>0</v>
      </c>
      <c r="H5" s="251"/>
      <c r="J5" s="42"/>
      <c r="K5" s="42"/>
      <c r="L5" s="42"/>
      <c r="M5" s="42"/>
      <c r="N5" s="57"/>
      <c r="O5" s="57"/>
      <c r="P5" s="57"/>
    </row>
    <row r="6" spans="2:16">
      <c r="B6" s="252" t="s">
        <v>1</v>
      </c>
      <c r="C6" s="248" t="s">
        <v>2</v>
      </c>
      <c r="D6" s="248" t="s">
        <v>3</v>
      </c>
      <c r="E6" s="248" t="s">
        <v>4</v>
      </c>
      <c r="F6" s="248" t="s">
        <v>694</v>
      </c>
      <c r="G6" s="254" t="s">
        <v>939</v>
      </c>
      <c r="H6" s="254" t="s">
        <v>940</v>
      </c>
      <c r="I6" s="246" t="s">
        <v>941</v>
      </c>
      <c r="J6" s="42"/>
      <c r="K6" s="42"/>
      <c r="L6" s="42"/>
      <c r="M6" s="42"/>
      <c r="N6" s="57"/>
      <c r="O6" s="57"/>
      <c r="P6" s="57"/>
    </row>
    <row r="7" spans="2:16" ht="49.5" customHeight="1">
      <c r="B7" s="253"/>
      <c r="C7" s="249"/>
      <c r="D7" s="249"/>
      <c r="E7" s="249"/>
      <c r="F7" s="249"/>
      <c r="G7" s="255"/>
      <c r="H7" s="255"/>
      <c r="I7" s="247"/>
      <c r="J7" s="42"/>
      <c r="K7" s="42"/>
      <c r="L7" s="42"/>
      <c r="M7" s="42"/>
      <c r="N7" s="57"/>
      <c r="O7" s="57"/>
      <c r="P7" s="57"/>
    </row>
    <row r="8" spans="2:16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775</v>
      </c>
      <c r="I8" s="11" t="s">
        <v>776</v>
      </c>
      <c r="J8" s="42"/>
      <c r="K8" s="42"/>
      <c r="L8" s="42"/>
      <c r="M8" s="42"/>
      <c r="N8" s="57"/>
      <c r="O8" s="57"/>
      <c r="P8" s="57"/>
    </row>
    <row r="9" spans="2:16">
      <c r="B9" s="14" t="s">
        <v>777</v>
      </c>
      <c r="C9" s="11" t="s">
        <v>65</v>
      </c>
      <c r="D9" s="11" t="s">
        <v>12</v>
      </c>
      <c r="E9" s="11" t="s">
        <v>12</v>
      </c>
      <c r="F9" s="11" t="s">
        <v>12</v>
      </c>
      <c r="G9" s="203">
        <f t="shared" ref="G9:G10" si="0">G10</f>
        <v>1219</v>
      </c>
      <c r="H9" s="203">
        <v>1215.5999999999999</v>
      </c>
      <c r="I9" s="207">
        <f>H9/G9</f>
        <v>0.99721082854799004</v>
      </c>
      <c r="J9" s="42"/>
      <c r="K9" s="46">
        <f>SUM(K10:K22)</f>
        <v>1216</v>
      </c>
      <c r="L9" s="46">
        <f t="shared" ref="L9:P9" si="1">SUM(L10:L22)</f>
        <v>1214.5</v>
      </c>
      <c r="M9" s="46" t="e">
        <f t="shared" si="1"/>
        <v>#DIV/0!</v>
      </c>
      <c r="N9" s="58">
        <f t="shared" si="1"/>
        <v>0</v>
      </c>
      <c r="O9" s="58">
        <f t="shared" si="1"/>
        <v>0</v>
      </c>
      <c r="P9" s="58">
        <f t="shared" si="1"/>
        <v>0</v>
      </c>
    </row>
    <row r="10" spans="2:16">
      <c r="B10" s="14" t="s">
        <v>13</v>
      </c>
      <c r="C10" s="11" t="s">
        <v>65</v>
      </c>
      <c r="D10" s="11" t="s">
        <v>14</v>
      </c>
      <c r="E10" s="11" t="s">
        <v>12</v>
      </c>
      <c r="F10" s="11"/>
      <c r="G10" s="203">
        <f t="shared" si="0"/>
        <v>1219</v>
      </c>
      <c r="H10" s="203">
        <v>1215.5999999999999</v>
      </c>
      <c r="I10" s="207">
        <f t="shared" ref="I10:I73" si="2">H10/G10</f>
        <v>0.99721082854799004</v>
      </c>
      <c r="J10" s="43"/>
      <c r="K10" s="43">
        <f t="shared" ref="K10:K13" si="3">SUMIF(J10,1,G10)</f>
        <v>0</v>
      </c>
      <c r="L10" s="43">
        <f t="shared" ref="L10:L13" si="4">SUMIF(J10,1,H10)</f>
        <v>0</v>
      </c>
      <c r="M10" s="43">
        <f t="shared" ref="M10:M13" si="5">SUMIF(J10,1,I10)</f>
        <v>0</v>
      </c>
      <c r="N10" s="57">
        <f t="shared" ref="N10:N13" si="6">SUMIF(J10,2,G10)</f>
        <v>0</v>
      </c>
      <c r="O10" s="57">
        <f t="shared" ref="O10:O13" si="7">SUMIF(J10,2,H10)</f>
        <v>0</v>
      </c>
      <c r="P10" s="57">
        <f t="shared" ref="P10:P13" si="8">SUMIF(J10,2,I10)</f>
        <v>0</v>
      </c>
    </row>
    <row r="11" spans="2:16" ht="25.5">
      <c r="B11" s="14" t="s">
        <v>15</v>
      </c>
      <c r="C11" s="11" t="s">
        <v>65</v>
      </c>
      <c r="D11" s="11" t="s">
        <v>16</v>
      </c>
      <c r="E11" s="11" t="s">
        <v>12</v>
      </c>
      <c r="F11" s="11" t="s">
        <v>12</v>
      </c>
      <c r="G11" s="203">
        <f>G12+G20+G18</f>
        <v>1219</v>
      </c>
      <c r="H11" s="203">
        <v>1215.5999999999999</v>
      </c>
      <c r="I11" s="207">
        <f t="shared" si="2"/>
        <v>0.99721082854799004</v>
      </c>
      <c r="J11" s="43"/>
      <c r="K11" s="43">
        <f t="shared" si="3"/>
        <v>0</v>
      </c>
      <c r="L11" s="43">
        <f t="shared" si="4"/>
        <v>0</v>
      </c>
      <c r="M11" s="43">
        <f t="shared" si="5"/>
        <v>0</v>
      </c>
      <c r="N11" s="57">
        <f t="shared" si="6"/>
        <v>0</v>
      </c>
      <c r="O11" s="57">
        <f t="shared" si="7"/>
        <v>0</v>
      </c>
      <c r="P11" s="57">
        <f t="shared" si="8"/>
        <v>0</v>
      </c>
    </row>
    <row r="12" spans="2:16" ht="25.5">
      <c r="B12" s="15" t="s">
        <v>104</v>
      </c>
      <c r="C12" s="50" t="s">
        <v>65</v>
      </c>
      <c r="D12" s="50" t="s">
        <v>16</v>
      </c>
      <c r="E12" s="50" t="s">
        <v>137</v>
      </c>
      <c r="F12" s="50" t="s">
        <v>12</v>
      </c>
      <c r="G12" s="204">
        <v>1215</v>
      </c>
      <c r="H12" s="204">
        <v>1213.5</v>
      </c>
      <c r="I12" s="212">
        <f t="shared" si="2"/>
        <v>0.99876543209876545</v>
      </c>
      <c r="J12" s="43"/>
      <c r="K12" s="43">
        <f t="shared" si="3"/>
        <v>0</v>
      </c>
      <c r="L12" s="43">
        <f t="shared" si="4"/>
        <v>0</v>
      </c>
      <c r="M12" s="43">
        <f t="shared" si="5"/>
        <v>0</v>
      </c>
      <c r="N12" s="57">
        <f t="shared" si="6"/>
        <v>0</v>
      </c>
      <c r="O12" s="57">
        <f t="shared" si="7"/>
        <v>0</v>
      </c>
      <c r="P12" s="57">
        <f t="shared" si="8"/>
        <v>0</v>
      </c>
    </row>
    <row r="13" spans="2:16">
      <c r="B13" s="15" t="s">
        <v>95</v>
      </c>
      <c r="C13" s="50" t="s">
        <v>65</v>
      </c>
      <c r="D13" s="50" t="s">
        <v>16</v>
      </c>
      <c r="E13" s="50" t="s">
        <v>138</v>
      </c>
      <c r="F13" s="50"/>
      <c r="G13" s="204">
        <f>G14+G15</f>
        <v>1215</v>
      </c>
      <c r="H13" s="204">
        <v>1213.5</v>
      </c>
      <c r="I13" s="212">
        <f t="shared" si="2"/>
        <v>0.99876543209876545</v>
      </c>
      <c r="J13" s="42"/>
      <c r="K13" s="43">
        <f t="shared" si="3"/>
        <v>0</v>
      </c>
      <c r="L13" s="43">
        <f t="shared" si="4"/>
        <v>0</v>
      </c>
      <c r="M13" s="43">
        <f t="shared" si="5"/>
        <v>0</v>
      </c>
      <c r="N13" s="57">
        <f t="shared" si="6"/>
        <v>0</v>
      </c>
      <c r="O13" s="57">
        <f t="shared" si="7"/>
        <v>0</v>
      </c>
      <c r="P13" s="57">
        <f t="shared" si="8"/>
        <v>0</v>
      </c>
    </row>
    <row r="14" spans="2:16" ht="40.5" customHeight="1">
      <c r="B14" s="15" t="s">
        <v>17</v>
      </c>
      <c r="C14" s="50" t="s">
        <v>65</v>
      </c>
      <c r="D14" s="50" t="s">
        <v>16</v>
      </c>
      <c r="E14" s="50" t="s">
        <v>138</v>
      </c>
      <c r="F14" s="50" t="s">
        <v>18</v>
      </c>
      <c r="G14" s="204">
        <f>1151-20+48+32</f>
        <v>1211</v>
      </c>
      <c r="H14" s="117">
        <v>1210.9000000000001</v>
      </c>
      <c r="I14" s="212">
        <f t="shared" si="2"/>
        <v>0.99991742361684566</v>
      </c>
      <c r="J14" s="43">
        <v>1</v>
      </c>
      <c r="K14" s="43">
        <f>SUMIF(J14,1,G14)</f>
        <v>1211</v>
      </c>
      <c r="L14" s="43">
        <f>SUMIF(J14,1,H14)</f>
        <v>1210.9000000000001</v>
      </c>
      <c r="M14" s="43">
        <f>SUMIF(J14,1,I14)</f>
        <v>0.99991742361684566</v>
      </c>
      <c r="N14" s="57">
        <f>SUMIF(J14,2,G14)</f>
        <v>0</v>
      </c>
      <c r="O14" s="57">
        <f>SUMIF(J14,2,H14)</f>
        <v>0</v>
      </c>
      <c r="P14" s="57">
        <f>SUMIF(J14,2,I14)</f>
        <v>0</v>
      </c>
    </row>
    <row r="15" spans="2:16">
      <c r="B15" s="15" t="s">
        <v>19</v>
      </c>
      <c r="C15" s="50" t="s">
        <v>65</v>
      </c>
      <c r="D15" s="50" t="s">
        <v>16</v>
      </c>
      <c r="E15" s="50" t="s">
        <v>138</v>
      </c>
      <c r="F15" s="50" t="s">
        <v>20</v>
      </c>
      <c r="G15" s="204">
        <v>4</v>
      </c>
      <c r="H15" s="117">
        <v>2.6</v>
      </c>
      <c r="I15" s="212">
        <f t="shared" si="2"/>
        <v>0.65</v>
      </c>
      <c r="J15" s="43">
        <v>1</v>
      </c>
      <c r="K15" s="43">
        <f t="shared" ref="K15:K24" si="9">SUMIF(J15,1,G15)</f>
        <v>4</v>
      </c>
      <c r="L15" s="43">
        <f t="shared" ref="L15:L24" si="10">SUMIF(J15,1,H15)</f>
        <v>2.6</v>
      </c>
      <c r="M15" s="43">
        <f t="shared" ref="M15:M24" si="11">SUMIF(J15,1,I15)</f>
        <v>0.65</v>
      </c>
      <c r="N15" s="57">
        <f t="shared" ref="N15:N24" si="12">SUMIF(J15,2,G15)</f>
        <v>0</v>
      </c>
      <c r="O15" s="57">
        <f t="shared" ref="O15:O24" si="13">SUMIF(J15,2,H15)</f>
        <v>0</v>
      </c>
      <c r="P15" s="57">
        <f t="shared" ref="P15:P24" si="14">SUMIF(J15,2,I15)</f>
        <v>0</v>
      </c>
    </row>
    <row r="16" spans="2:16" hidden="1">
      <c r="B16" s="15" t="s">
        <v>534</v>
      </c>
      <c r="C16" s="50" t="s">
        <v>65</v>
      </c>
      <c r="D16" s="50" t="s">
        <v>16</v>
      </c>
      <c r="E16" s="50" t="s">
        <v>535</v>
      </c>
      <c r="F16" s="50"/>
      <c r="G16" s="204">
        <f>G17</f>
        <v>0</v>
      </c>
      <c r="H16" s="204"/>
      <c r="I16" s="212" t="e">
        <f t="shared" si="2"/>
        <v>#DIV/0!</v>
      </c>
      <c r="J16" s="42"/>
      <c r="K16" s="43">
        <f t="shared" si="9"/>
        <v>0</v>
      </c>
      <c r="L16" s="43">
        <f t="shared" si="10"/>
        <v>0</v>
      </c>
      <c r="M16" s="43">
        <f t="shared" si="11"/>
        <v>0</v>
      </c>
      <c r="N16" s="57">
        <f t="shared" si="12"/>
        <v>0</v>
      </c>
      <c r="O16" s="57">
        <f t="shared" si="13"/>
        <v>0</v>
      </c>
      <c r="P16" s="57">
        <f t="shared" si="14"/>
        <v>0</v>
      </c>
    </row>
    <row r="17" spans="2:20" ht="40.5" hidden="1" customHeight="1">
      <c r="B17" s="15" t="s">
        <v>17</v>
      </c>
      <c r="C17" s="50" t="s">
        <v>65</v>
      </c>
      <c r="D17" s="50" t="s">
        <v>16</v>
      </c>
      <c r="E17" s="50" t="s">
        <v>535</v>
      </c>
      <c r="F17" s="50" t="s">
        <v>18</v>
      </c>
      <c r="G17" s="204">
        <v>0</v>
      </c>
      <c r="H17" s="117"/>
      <c r="I17" s="212" t="e">
        <f t="shared" si="2"/>
        <v>#DIV/0!</v>
      </c>
      <c r="J17" s="43">
        <v>1</v>
      </c>
      <c r="K17" s="43">
        <f t="shared" si="9"/>
        <v>0</v>
      </c>
      <c r="L17" s="43">
        <f t="shared" si="10"/>
        <v>0</v>
      </c>
      <c r="M17" s="43" t="e">
        <f t="shared" si="11"/>
        <v>#DIV/0!</v>
      </c>
      <c r="N17" s="57">
        <f t="shared" si="12"/>
        <v>0</v>
      </c>
      <c r="O17" s="57">
        <f t="shared" si="13"/>
        <v>0</v>
      </c>
      <c r="P17" s="57">
        <f t="shared" si="14"/>
        <v>0</v>
      </c>
    </row>
    <row r="18" spans="2:20" ht="17.25" customHeight="1">
      <c r="B18" s="15" t="s">
        <v>534</v>
      </c>
      <c r="C18" s="50" t="s">
        <v>65</v>
      </c>
      <c r="D18" s="50" t="s">
        <v>16</v>
      </c>
      <c r="E18" s="50" t="s">
        <v>535</v>
      </c>
      <c r="F18" s="50"/>
      <c r="G18" s="204">
        <f>G19</f>
        <v>3</v>
      </c>
      <c r="H18" s="204">
        <v>1.1000000000000001</v>
      </c>
      <c r="I18" s="212">
        <f t="shared" si="2"/>
        <v>0.3666666666666667</v>
      </c>
      <c r="J18" s="43"/>
      <c r="K18" s="43"/>
      <c r="L18" s="43"/>
      <c r="M18" s="43"/>
      <c r="N18" s="57"/>
      <c r="O18" s="57"/>
      <c r="P18" s="57"/>
    </row>
    <row r="19" spans="2:20" ht="43.5" customHeight="1">
      <c r="B19" s="15" t="s">
        <v>17</v>
      </c>
      <c r="C19" s="50" t="s">
        <v>65</v>
      </c>
      <c r="D19" s="50" t="s">
        <v>16</v>
      </c>
      <c r="E19" s="50" t="s">
        <v>535</v>
      </c>
      <c r="F19" s="50" t="s">
        <v>18</v>
      </c>
      <c r="G19" s="204">
        <f>20+15-32</f>
        <v>3</v>
      </c>
      <c r="H19" s="204">
        <v>1.1000000000000001</v>
      </c>
      <c r="I19" s="212">
        <f t="shared" si="2"/>
        <v>0.3666666666666667</v>
      </c>
      <c r="J19" s="43"/>
      <c r="K19" s="43"/>
      <c r="L19" s="43"/>
      <c r="M19" s="43"/>
      <c r="N19" s="57"/>
      <c r="O19" s="57"/>
      <c r="P19" s="57"/>
    </row>
    <row r="20" spans="2:20">
      <c r="B20" s="15" t="s">
        <v>72</v>
      </c>
      <c r="C20" s="50" t="s">
        <v>65</v>
      </c>
      <c r="D20" s="50" t="s">
        <v>16</v>
      </c>
      <c r="E20" s="50" t="s">
        <v>139</v>
      </c>
      <c r="F20" s="50"/>
      <c r="G20" s="204">
        <f t="shared" ref="G20:G21" si="15">G21</f>
        <v>1</v>
      </c>
      <c r="H20" s="204">
        <v>1</v>
      </c>
      <c r="I20" s="212">
        <f t="shared" si="2"/>
        <v>1</v>
      </c>
      <c r="J20" s="43"/>
      <c r="K20" s="43">
        <f t="shared" si="9"/>
        <v>0</v>
      </c>
      <c r="L20" s="43">
        <f t="shared" si="10"/>
        <v>0</v>
      </c>
      <c r="M20" s="43">
        <f>SUMIF(J20,1,I20)</f>
        <v>0</v>
      </c>
      <c r="N20" s="57">
        <f t="shared" si="12"/>
        <v>0</v>
      </c>
      <c r="O20" s="57">
        <f t="shared" si="13"/>
        <v>0</v>
      </c>
      <c r="P20" s="57">
        <f>SUMIF(J20,2,I20)</f>
        <v>0</v>
      </c>
    </row>
    <row r="21" spans="2:20">
      <c r="B21" s="15" t="s">
        <v>100</v>
      </c>
      <c r="C21" s="50" t="s">
        <v>65</v>
      </c>
      <c r="D21" s="50" t="s">
        <v>16</v>
      </c>
      <c r="E21" s="50" t="s">
        <v>151</v>
      </c>
      <c r="F21" s="50"/>
      <c r="G21" s="204">
        <f t="shared" si="15"/>
        <v>1</v>
      </c>
      <c r="H21" s="204">
        <v>1</v>
      </c>
      <c r="I21" s="212">
        <f t="shared" si="2"/>
        <v>1</v>
      </c>
      <c r="J21" s="43"/>
      <c r="K21" s="43">
        <f t="shared" si="9"/>
        <v>0</v>
      </c>
      <c r="L21" s="43">
        <f t="shared" si="10"/>
        <v>0</v>
      </c>
      <c r="M21" s="43">
        <f t="shared" si="11"/>
        <v>0</v>
      </c>
      <c r="N21" s="57">
        <f t="shared" si="12"/>
        <v>0</v>
      </c>
      <c r="O21" s="57">
        <f t="shared" si="13"/>
        <v>0</v>
      </c>
      <c r="P21" s="57">
        <f t="shared" si="14"/>
        <v>0</v>
      </c>
    </row>
    <row r="22" spans="2:20">
      <c r="B22" s="15" t="s">
        <v>21</v>
      </c>
      <c r="C22" s="50" t="s">
        <v>65</v>
      </c>
      <c r="D22" s="50" t="s">
        <v>16</v>
      </c>
      <c r="E22" s="50" t="s">
        <v>151</v>
      </c>
      <c r="F22" s="50" t="s">
        <v>22</v>
      </c>
      <c r="G22" s="204">
        <v>1</v>
      </c>
      <c r="H22" s="204">
        <v>1</v>
      </c>
      <c r="I22" s="212">
        <f t="shared" si="2"/>
        <v>1</v>
      </c>
      <c r="J22" s="43">
        <v>1</v>
      </c>
      <c r="K22" s="43">
        <f t="shared" si="9"/>
        <v>1</v>
      </c>
      <c r="L22" s="43">
        <f t="shared" si="10"/>
        <v>1</v>
      </c>
      <c r="M22" s="43">
        <f t="shared" si="11"/>
        <v>1</v>
      </c>
      <c r="N22" s="57">
        <f t="shared" si="12"/>
        <v>0</v>
      </c>
      <c r="O22" s="57">
        <f t="shared" si="13"/>
        <v>0</v>
      </c>
      <c r="P22" s="57">
        <f t="shared" si="14"/>
        <v>0</v>
      </c>
    </row>
    <row r="23" spans="2:20" ht="25.5">
      <c r="B23" s="14" t="s">
        <v>370</v>
      </c>
      <c r="C23" s="11" t="s">
        <v>66</v>
      </c>
      <c r="D23" s="11" t="s">
        <v>12</v>
      </c>
      <c r="E23" s="11" t="s">
        <v>12</v>
      </c>
      <c r="F23" s="11" t="s">
        <v>12</v>
      </c>
      <c r="G23" s="203">
        <f>G24+G94+G133+G187+G257+G264+G338+G352+G363+G323+G375</f>
        <v>289218.7</v>
      </c>
      <c r="H23" s="203">
        <v>267853.90000000002</v>
      </c>
      <c r="I23" s="207">
        <f t="shared" si="2"/>
        <v>0.92612925789376699</v>
      </c>
      <c r="J23" s="43"/>
      <c r="K23" s="46">
        <f>SUM(K24:K379)</f>
        <v>65106.8</v>
      </c>
      <c r="L23" s="46">
        <f t="shared" ref="L23:P23" si="16">SUM(L24:L379)</f>
        <v>54813.100000000013</v>
      </c>
      <c r="M23" s="46" t="e">
        <f t="shared" si="16"/>
        <v>#DIV/0!</v>
      </c>
      <c r="N23" s="58">
        <f t="shared" si="16"/>
        <v>57172</v>
      </c>
      <c r="O23" s="58">
        <f t="shared" si="16"/>
        <v>56121.5</v>
      </c>
      <c r="P23" s="58" t="e">
        <f t="shared" si="16"/>
        <v>#DIV/0!</v>
      </c>
      <c r="Q23" s="19">
        <f>N23+N380+N790</f>
        <v>60142.1</v>
      </c>
      <c r="R23" s="19">
        <f>O23+O380+O790</f>
        <v>58827.899999999994</v>
      </c>
      <c r="S23" s="19" t="e">
        <f>P23+P380+P790</f>
        <v>#DIV/0!</v>
      </c>
      <c r="T23" s="19"/>
    </row>
    <row r="24" spans="2:20">
      <c r="B24" s="14" t="s">
        <v>13</v>
      </c>
      <c r="C24" s="11" t="s">
        <v>66</v>
      </c>
      <c r="D24" s="11" t="s">
        <v>14</v>
      </c>
      <c r="E24" s="11" t="s">
        <v>12</v>
      </c>
      <c r="F24" s="11" t="s">
        <v>12</v>
      </c>
      <c r="G24" s="203">
        <f>G29+G55+G59+G25+G52</f>
        <v>47216.599999999991</v>
      </c>
      <c r="H24" s="203">
        <v>44888.6</v>
      </c>
      <c r="I24" s="207">
        <f t="shared" si="2"/>
        <v>0.95069530631176336</v>
      </c>
      <c r="J24" s="43"/>
      <c r="K24" s="43">
        <f t="shared" si="9"/>
        <v>0</v>
      </c>
      <c r="L24" s="43">
        <f t="shared" si="10"/>
        <v>0</v>
      </c>
      <c r="M24" s="43">
        <f t="shared" si="11"/>
        <v>0</v>
      </c>
      <c r="N24" s="57">
        <f t="shared" si="12"/>
        <v>0</v>
      </c>
      <c r="O24" s="57">
        <f t="shared" si="13"/>
        <v>0</v>
      </c>
      <c r="P24" s="57">
        <f t="shared" si="14"/>
        <v>0</v>
      </c>
    </row>
    <row r="25" spans="2:20" ht="25.5">
      <c r="B25" s="14" t="s">
        <v>340</v>
      </c>
      <c r="C25" s="11" t="s">
        <v>66</v>
      </c>
      <c r="D25" s="11" t="s">
        <v>341</v>
      </c>
      <c r="E25" s="11"/>
      <c r="F25" s="11"/>
      <c r="G25" s="203">
        <f>G26+G27</f>
        <v>1356.6</v>
      </c>
      <c r="H25" s="203">
        <v>1323.1</v>
      </c>
      <c r="I25" s="207">
        <f t="shared" si="2"/>
        <v>0.97530591183841953</v>
      </c>
      <c r="J25" s="42"/>
      <c r="K25" s="43">
        <f t="shared" ref="K25:K105" si="17">SUMIF(J25,1,G25)</f>
        <v>0</v>
      </c>
      <c r="L25" s="43">
        <f t="shared" ref="L25:L105" si="18">SUMIF(J25,1,H25)</f>
        <v>0</v>
      </c>
      <c r="M25" s="43">
        <f t="shared" ref="M25:M105" si="19">SUMIF(J25,1,I25)</f>
        <v>0</v>
      </c>
      <c r="N25" s="57">
        <f t="shared" ref="N25:N105" si="20">SUMIF(J25,2,G25)</f>
        <v>0</v>
      </c>
      <c r="O25" s="57">
        <f t="shared" ref="O25:O105" si="21">SUMIF(J25,2,H25)</f>
        <v>0</v>
      </c>
      <c r="P25" s="57">
        <f t="shared" ref="P25:P105" si="22">SUMIF(J25,2,I25)</f>
        <v>0</v>
      </c>
      <c r="Q25" s="19">
        <f>56013.1-Q23</f>
        <v>-4129</v>
      </c>
      <c r="R25" s="19"/>
      <c r="S25" s="19"/>
    </row>
    <row r="26" spans="2:20">
      <c r="B26" s="15" t="s">
        <v>342</v>
      </c>
      <c r="C26" s="50" t="s">
        <v>66</v>
      </c>
      <c r="D26" s="50" t="s">
        <v>341</v>
      </c>
      <c r="E26" s="50" t="s">
        <v>343</v>
      </c>
      <c r="F26" s="50" t="s">
        <v>18</v>
      </c>
      <c r="G26" s="204">
        <f>1445-100-34</f>
        <v>1311</v>
      </c>
      <c r="H26" s="204">
        <v>1277.5</v>
      </c>
      <c r="I26" s="212">
        <f t="shared" si="2"/>
        <v>0.97444698703279942</v>
      </c>
      <c r="J26" s="42">
        <v>1</v>
      </c>
      <c r="K26" s="43">
        <f t="shared" si="17"/>
        <v>1311</v>
      </c>
      <c r="L26" s="43">
        <f t="shared" si="18"/>
        <v>1277.5</v>
      </c>
      <c r="M26" s="43">
        <f t="shared" si="19"/>
        <v>0.97444698703279942</v>
      </c>
      <c r="N26" s="57">
        <f t="shared" si="20"/>
        <v>0</v>
      </c>
      <c r="O26" s="57">
        <f t="shared" si="21"/>
        <v>0</v>
      </c>
      <c r="P26" s="57">
        <f t="shared" si="22"/>
        <v>0</v>
      </c>
    </row>
    <row r="27" spans="2:20" ht="38.25">
      <c r="B27" s="15" t="s">
        <v>927</v>
      </c>
      <c r="C27" s="50" t="s">
        <v>66</v>
      </c>
      <c r="D27" s="50" t="s">
        <v>341</v>
      </c>
      <c r="E27" s="157" t="s">
        <v>928</v>
      </c>
      <c r="F27" s="50"/>
      <c r="G27" s="204">
        <f>G28</f>
        <v>45.6</v>
      </c>
      <c r="H27" s="204">
        <v>45.6</v>
      </c>
      <c r="I27" s="212">
        <f t="shared" si="2"/>
        <v>1</v>
      </c>
      <c r="J27" s="42"/>
      <c r="K27" s="43"/>
      <c r="L27" s="43"/>
      <c r="M27" s="43"/>
      <c r="N27" s="57"/>
      <c r="O27" s="57"/>
      <c r="P27" s="57"/>
    </row>
    <row r="28" spans="2:20" ht="38.25">
      <c r="B28" s="15" t="s">
        <v>17</v>
      </c>
      <c r="C28" s="50" t="s">
        <v>66</v>
      </c>
      <c r="D28" s="50" t="s">
        <v>341</v>
      </c>
      <c r="E28" s="157" t="s">
        <v>928</v>
      </c>
      <c r="F28" s="50" t="s">
        <v>18</v>
      </c>
      <c r="G28" s="204">
        <v>45.6</v>
      </c>
      <c r="H28" s="204">
        <v>45.6</v>
      </c>
      <c r="I28" s="212">
        <f t="shared" si="2"/>
        <v>1</v>
      </c>
      <c r="J28" s="42"/>
      <c r="K28" s="43"/>
      <c r="L28" s="43"/>
      <c r="M28" s="43"/>
      <c r="N28" s="57"/>
      <c r="O28" s="57"/>
      <c r="P28" s="57"/>
    </row>
    <row r="29" spans="2:20" ht="25.5">
      <c r="B29" s="14" t="s">
        <v>360</v>
      </c>
      <c r="C29" s="11" t="s">
        <v>66</v>
      </c>
      <c r="D29" s="11" t="s">
        <v>29</v>
      </c>
      <c r="E29" s="11" t="s">
        <v>12</v>
      </c>
      <c r="F29" s="11" t="s">
        <v>12</v>
      </c>
      <c r="G29" s="203">
        <f>G30+G35</f>
        <v>17875.400000000001</v>
      </c>
      <c r="H29" s="203">
        <v>17443.400000000001</v>
      </c>
      <c r="I29" s="207">
        <f t="shared" si="2"/>
        <v>0.97583270863868776</v>
      </c>
      <c r="J29" s="42"/>
      <c r="K29" s="43">
        <f t="shared" si="17"/>
        <v>0</v>
      </c>
      <c r="L29" s="43">
        <f t="shared" si="18"/>
        <v>0</v>
      </c>
      <c r="M29" s="43">
        <f t="shared" si="19"/>
        <v>0</v>
      </c>
      <c r="N29" s="57">
        <f t="shared" si="20"/>
        <v>0</v>
      </c>
      <c r="O29" s="57">
        <f t="shared" si="21"/>
        <v>0</v>
      </c>
      <c r="P29" s="57">
        <f t="shared" si="22"/>
        <v>0</v>
      </c>
    </row>
    <row r="30" spans="2:20" ht="25.5">
      <c r="B30" s="15" t="s">
        <v>104</v>
      </c>
      <c r="C30" s="50" t="s">
        <v>66</v>
      </c>
      <c r="D30" s="50" t="s">
        <v>29</v>
      </c>
      <c r="E30" s="50" t="s">
        <v>137</v>
      </c>
      <c r="F30" s="50"/>
      <c r="G30" s="204">
        <f>G38+G41+G44+G47+G31+G50</f>
        <v>17617.400000000001</v>
      </c>
      <c r="H30" s="204">
        <v>17185.5</v>
      </c>
      <c r="I30" s="212">
        <f t="shared" si="2"/>
        <v>0.9754844642228705</v>
      </c>
      <c r="J30" s="42"/>
      <c r="K30" s="43">
        <f t="shared" si="17"/>
        <v>0</v>
      </c>
      <c r="L30" s="43">
        <f t="shared" si="18"/>
        <v>0</v>
      </c>
      <c r="M30" s="43">
        <f t="shared" si="19"/>
        <v>0</v>
      </c>
      <c r="N30" s="57">
        <f t="shared" si="20"/>
        <v>0</v>
      </c>
      <c r="O30" s="57">
        <f t="shared" si="21"/>
        <v>0</v>
      </c>
      <c r="P30" s="57">
        <f t="shared" si="22"/>
        <v>0</v>
      </c>
    </row>
    <row r="31" spans="2:20">
      <c r="B31" s="15" t="s">
        <v>95</v>
      </c>
      <c r="C31" s="50" t="s">
        <v>66</v>
      </c>
      <c r="D31" s="50" t="s">
        <v>29</v>
      </c>
      <c r="E31" s="50" t="s">
        <v>138</v>
      </c>
      <c r="F31" s="50"/>
      <c r="G31" s="204">
        <f>G32+G33+G34</f>
        <v>15536.400000000001</v>
      </c>
      <c r="H31" s="204">
        <v>15187.4</v>
      </c>
      <c r="I31" s="212">
        <f t="shared" si="2"/>
        <v>0.97753662367086314</v>
      </c>
      <c r="J31" s="42"/>
      <c r="K31" s="43">
        <f t="shared" si="17"/>
        <v>0</v>
      </c>
      <c r="L31" s="43">
        <f t="shared" si="18"/>
        <v>0</v>
      </c>
      <c r="M31" s="43">
        <f t="shared" si="19"/>
        <v>0</v>
      </c>
      <c r="N31" s="57">
        <f t="shared" si="20"/>
        <v>0</v>
      </c>
      <c r="O31" s="57">
        <f t="shared" si="21"/>
        <v>0</v>
      </c>
      <c r="P31" s="57">
        <f t="shared" si="22"/>
        <v>0</v>
      </c>
    </row>
    <row r="32" spans="2:20" ht="38.25">
      <c r="B32" s="15" t="s">
        <v>17</v>
      </c>
      <c r="C32" s="50" t="s">
        <v>66</v>
      </c>
      <c r="D32" s="50" t="s">
        <v>29</v>
      </c>
      <c r="E32" s="50" t="s">
        <v>138</v>
      </c>
      <c r="F32" s="50" t="s">
        <v>18</v>
      </c>
      <c r="G32" s="204">
        <f>16259+430.4-1500-500+205+50+100+34</f>
        <v>15078.400000000001</v>
      </c>
      <c r="H32" s="204">
        <v>14936.6</v>
      </c>
      <c r="I32" s="212">
        <f>H32/G32</f>
        <v>0.99059581918505935</v>
      </c>
      <c r="J32" s="43">
        <v>1</v>
      </c>
      <c r="K32" s="43">
        <f t="shared" si="17"/>
        <v>15078.400000000001</v>
      </c>
      <c r="L32" s="43">
        <f t="shared" si="18"/>
        <v>14936.6</v>
      </c>
      <c r="M32" s="43">
        <f t="shared" si="19"/>
        <v>0.99059581918505935</v>
      </c>
      <c r="N32" s="57">
        <f t="shared" si="20"/>
        <v>0</v>
      </c>
      <c r="O32" s="57">
        <f t="shared" si="21"/>
        <v>0</v>
      </c>
      <c r="P32" s="57">
        <f t="shared" si="22"/>
        <v>0</v>
      </c>
    </row>
    <row r="33" spans="2:16">
      <c r="B33" s="15" t="s">
        <v>19</v>
      </c>
      <c r="C33" s="50" t="s">
        <v>66</v>
      </c>
      <c r="D33" s="50" t="s">
        <v>29</v>
      </c>
      <c r="E33" s="50" t="s">
        <v>138</v>
      </c>
      <c r="F33" s="50" t="s">
        <v>20</v>
      </c>
      <c r="G33" s="204">
        <f>30+230-20+80+100+40-2</f>
        <v>458</v>
      </c>
      <c r="H33" s="204">
        <v>250.8</v>
      </c>
      <c r="I33" s="212">
        <f t="shared" si="2"/>
        <v>0.54759825327510925</v>
      </c>
      <c r="J33" s="42">
        <v>1</v>
      </c>
      <c r="K33" s="43">
        <f t="shared" si="17"/>
        <v>458</v>
      </c>
      <c r="L33" s="43">
        <f t="shared" si="18"/>
        <v>250.8</v>
      </c>
      <c r="M33" s="43">
        <f t="shared" si="19"/>
        <v>0.54759825327510925</v>
      </c>
      <c r="N33" s="57">
        <f t="shared" si="20"/>
        <v>0</v>
      </c>
      <c r="O33" s="57">
        <f t="shared" si="21"/>
        <v>0</v>
      </c>
      <c r="P33" s="57">
        <f t="shared" si="22"/>
        <v>0</v>
      </c>
    </row>
    <row r="34" spans="2:16" ht="25.5" hidden="1">
      <c r="B34" s="15" t="s">
        <v>566</v>
      </c>
      <c r="C34" s="50" t="s">
        <v>66</v>
      </c>
      <c r="D34" s="50" t="s">
        <v>29</v>
      </c>
      <c r="E34" s="50" t="s">
        <v>138</v>
      </c>
      <c r="F34" s="50" t="s">
        <v>26</v>
      </c>
      <c r="G34" s="204">
        <v>0</v>
      </c>
      <c r="H34" s="204"/>
      <c r="I34" s="207" t="e">
        <f t="shared" si="2"/>
        <v>#DIV/0!</v>
      </c>
      <c r="J34" s="42">
        <v>1</v>
      </c>
      <c r="K34" s="43">
        <f t="shared" si="17"/>
        <v>0</v>
      </c>
      <c r="L34" s="43">
        <f t="shared" si="18"/>
        <v>0</v>
      </c>
      <c r="M34" s="43" t="e">
        <f t="shared" si="19"/>
        <v>#DIV/0!</v>
      </c>
      <c r="N34" s="57">
        <f t="shared" si="20"/>
        <v>0</v>
      </c>
      <c r="O34" s="57">
        <f t="shared" si="21"/>
        <v>0</v>
      </c>
      <c r="P34" s="57">
        <f t="shared" si="22"/>
        <v>0</v>
      </c>
    </row>
    <row r="35" spans="2:16" s="6" customFormat="1">
      <c r="B35" s="14" t="s">
        <v>72</v>
      </c>
      <c r="C35" s="11" t="s">
        <v>66</v>
      </c>
      <c r="D35" s="11" t="s">
        <v>29</v>
      </c>
      <c r="E35" s="11" t="s">
        <v>139</v>
      </c>
      <c r="F35" s="11"/>
      <c r="G35" s="203">
        <f>G36</f>
        <v>258</v>
      </c>
      <c r="H35" s="203">
        <v>257.89999999999998</v>
      </c>
      <c r="I35" s="207">
        <f t="shared" si="2"/>
        <v>0.99961240310077515</v>
      </c>
      <c r="J35" s="46"/>
      <c r="K35" s="46">
        <f t="shared" si="17"/>
        <v>0</v>
      </c>
      <c r="L35" s="46">
        <f t="shared" si="18"/>
        <v>0</v>
      </c>
      <c r="M35" s="46">
        <f t="shared" si="19"/>
        <v>0</v>
      </c>
      <c r="N35" s="58">
        <f t="shared" si="20"/>
        <v>0</v>
      </c>
      <c r="O35" s="58">
        <f t="shared" si="21"/>
        <v>0</v>
      </c>
      <c r="P35" s="58">
        <f t="shared" si="22"/>
        <v>0</v>
      </c>
    </row>
    <row r="36" spans="2:16">
      <c r="B36" s="15" t="s">
        <v>100</v>
      </c>
      <c r="C36" s="50" t="s">
        <v>66</v>
      </c>
      <c r="D36" s="50" t="s">
        <v>29</v>
      </c>
      <c r="E36" s="50" t="s">
        <v>151</v>
      </c>
      <c r="F36" s="50"/>
      <c r="G36" s="204">
        <f>G37</f>
        <v>258</v>
      </c>
      <c r="H36" s="204">
        <v>257.89999999999998</v>
      </c>
      <c r="I36" s="212">
        <f t="shared" si="2"/>
        <v>0.99961240310077515</v>
      </c>
      <c r="J36" s="42"/>
      <c r="K36" s="43">
        <f t="shared" si="17"/>
        <v>0</v>
      </c>
      <c r="L36" s="43">
        <f t="shared" si="18"/>
        <v>0</v>
      </c>
      <c r="M36" s="43">
        <f t="shared" si="19"/>
        <v>0</v>
      </c>
      <c r="N36" s="57">
        <f t="shared" si="20"/>
        <v>0</v>
      </c>
      <c r="O36" s="57">
        <f t="shared" si="21"/>
        <v>0</v>
      </c>
      <c r="P36" s="57">
        <f t="shared" si="22"/>
        <v>0</v>
      </c>
    </row>
    <row r="37" spans="2:16">
      <c r="B37" s="15" t="s">
        <v>21</v>
      </c>
      <c r="C37" s="50" t="s">
        <v>66</v>
      </c>
      <c r="D37" s="50" t="s">
        <v>29</v>
      </c>
      <c r="E37" s="50" t="s">
        <v>151</v>
      </c>
      <c r="F37" s="50" t="s">
        <v>22</v>
      </c>
      <c r="G37" s="204">
        <f>31+60+205-40+2</f>
        <v>258</v>
      </c>
      <c r="H37" s="204">
        <v>257.89999999999998</v>
      </c>
      <c r="I37" s="212">
        <f t="shared" si="2"/>
        <v>0.99961240310077515</v>
      </c>
      <c r="J37" s="43">
        <v>1</v>
      </c>
      <c r="K37" s="43">
        <f t="shared" si="17"/>
        <v>258</v>
      </c>
      <c r="L37" s="43">
        <f t="shared" si="18"/>
        <v>257.89999999999998</v>
      </c>
      <c r="M37" s="43">
        <f t="shared" si="19"/>
        <v>0.99961240310077515</v>
      </c>
      <c r="N37" s="57">
        <f t="shared" si="20"/>
        <v>0</v>
      </c>
      <c r="O37" s="57">
        <f t="shared" si="21"/>
        <v>0</v>
      </c>
      <c r="P37" s="57">
        <f t="shared" si="22"/>
        <v>0</v>
      </c>
    </row>
    <row r="38" spans="2:16" ht="25.5">
      <c r="B38" s="15" t="s">
        <v>107</v>
      </c>
      <c r="C38" s="50" t="s">
        <v>66</v>
      </c>
      <c r="D38" s="50" t="s">
        <v>29</v>
      </c>
      <c r="E38" s="50" t="s">
        <v>140</v>
      </c>
      <c r="F38" s="50"/>
      <c r="G38" s="204">
        <f>G39+G40</f>
        <v>298.10000000000002</v>
      </c>
      <c r="H38" s="204">
        <v>298.10000000000002</v>
      </c>
      <c r="I38" s="212">
        <f t="shared" si="2"/>
        <v>1</v>
      </c>
      <c r="J38" s="43"/>
      <c r="K38" s="43">
        <f t="shared" si="17"/>
        <v>0</v>
      </c>
      <c r="L38" s="43">
        <f t="shared" si="18"/>
        <v>0</v>
      </c>
      <c r="M38" s="43">
        <f t="shared" si="19"/>
        <v>0</v>
      </c>
      <c r="N38" s="57">
        <f t="shared" si="20"/>
        <v>0</v>
      </c>
      <c r="O38" s="57">
        <f t="shared" si="21"/>
        <v>0</v>
      </c>
      <c r="P38" s="57">
        <f t="shared" si="22"/>
        <v>0</v>
      </c>
    </row>
    <row r="39" spans="2:16" ht="38.25">
      <c r="B39" s="15" t="s">
        <v>17</v>
      </c>
      <c r="C39" s="50" t="s">
        <v>66</v>
      </c>
      <c r="D39" s="50" t="s">
        <v>29</v>
      </c>
      <c r="E39" s="50" t="s">
        <v>140</v>
      </c>
      <c r="F39" s="50" t="s">
        <v>18</v>
      </c>
      <c r="G39" s="204">
        <f>283+2.1+1.4-0.5</f>
        <v>286</v>
      </c>
      <c r="H39" s="204">
        <v>286</v>
      </c>
      <c r="I39" s="212">
        <f t="shared" si="2"/>
        <v>1</v>
      </c>
      <c r="J39" s="43">
        <v>2</v>
      </c>
      <c r="K39" s="43">
        <f t="shared" si="17"/>
        <v>0</v>
      </c>
      <c r="L39" s="43">
        <f t="shared" si="18"/>
        <v>0</v>
      </c>
      <c r="M39" s="43">
        <f t="shared" si="19"/>
        <v>0</v>
      </c>
      <c r="N39" s="57">
        <f t="shared" si="20"/>
        <v>286</v>
      </c>
      <c r="O39" s="57">
        <f t="shared" si="21"/>
        <v>286</v>
      </c>
      <c r="P39" s="57">
        <f t="shared" si="22"/>
        <v>1</v>
      </c>
    </row>
    <row r="40" spans="2:16">
      <c r="B40" s="15" t="s">
        <v>19</v>
      </c>
      <c r="C40" s="50" t="s">
        <v>66</v>
      </c>
      <c r="D40" s="50" t="s">
        <v>29</v>
      </c>
      <c r="E40" s="50" t="s">
        <v>140</v>
      </c>
      <c r="F40" s="50" t="s">
        <v>20</v>
      </c>
      <c r="G40" s="204">
        <f>15.4+1-1.4-2-0.9</f>
        <v>12.099999999999998</v>
      </c>
      <c r="H40" s="204">
        <v>12.1</v>
      </c>
      <c r="I40" s="212">
        <f t="shared" si="2"/>
        <v>1.0000000000000002</v>
      </c>
      <c r="J40" s="43">
        <v>2</v>
      </c>
      <c r="K40" s="43">
        <f t="shared" si="17"/>
        <v>0</v>
      </c>
      <c r="L40" s="43">
        <f t="shared" si="18"/>
        <v>0</v>
      </c>
      <c r="M40" s="43">
        <f t="shared" si="19"/>
        <v>0</v>
      </c>
      <c r="N40" s="57">
        <f t="shared" si="20"/>
        <v>12.099999999999998</v>
      </c>
      <c r="O40" s="57">
        <f t="shared" si="21"/>
        <v>12.1</v>
      </c>
      <c r="P40" s="57">
        <f t="shared" si="22"/>
        <v>1.0000000000000002</v>
      </c>
    </row>
    <row r="41" spans="2:16">
      <c r="B41" s="15" t="s">
        <v>108</v>
      </c>
      <c r="C41" s="50" t="s">
        <v>66</v>
      </c>
      <c r="D41" s="50" t="s">
        <v>29</v>
      </c>
      <c r="E41" s="50" t="s">
        <v>141</v>
      </c>
      <c r="F41" s="50"/>
      <c r="G41" s="204">
        <f>G42+G43</f>
        <v>980.9</v>
      </c>
      <c r="H41" s="204">
        <v>903.7</v>
      </c>
      <c r="I41" s="212">
        <f t="shared" si="2"/>
        <v>0.92129676827403417</v>
      </c>
      <c r="J41" s="43"/>
      <c r="K41" s="43">
        <f t="shared" si="17"/>
        <v>0</v>
      </c>
      <c r="L41" s="43">
        <f t="shared" si="18"/>
        <v>0</v>
      </c>
      <c r="M41" s="43">
        <f t="shared" si="19"/>
        <v>0</v>
      </c>
      <c r="N41" s="57">
        <f t="shared" si="20"/>
        <v>0</v>
      </c>
      <c r="O41" s="57">
        <f t="shared" si="21"/>
        <v>0</v>
      </c>
      <c r="P41" s="57">
        <f t="shared" si="22"/>
        <v>0</v>
      </c>
    </row>
    <row r="42" spans="2:16" ht="38.25">
      <c r="B42" s="15" t="s">
        <v>17</v>
      </c>
      <c r="C42" s="50" t="s">
        <v>66</v>
      </c>
      <c r="D42" s="50" t="s">
        <v>29</v>
      </c>
      <c r="E42" s="50" t="s">
        <v>141</v>
      </c>
      <c r="F42" s="50" t="s">
        <v>18</v>
      </c>
      <c r="G42" s="204">
        <f>856+16.2+4.8</f>
        <v>877</v>
      </c>
      <c r="H42" s="204">
        <v>814</v>
      </c>
      <c r="I42" s="212">
        <f t="shared" si="2"/>
        <v>0.92816419612314705</v>
      </c>
      <c r="J42" s="43">
        <v>2</v>
      </c>
      <c r="K42" s="43">
        <f t="shared" si="17"/>
        <v>0</v>
      </c>
      <c r="L42" s="43">
        <f t="shared" si="18"/>
        <v>0</v>
      </c>
      <c r="M42" s="43">
        <f t="shared" si="19"/>
        <v>0</v>
      </c>
      <c r="N42" s="57">
        <f t="shared" si="20"/>
        <v>877</v>
      </c>
      <c r="O42" s="57">
        <f t="shared" si="21"/>
        <v>814</v>
      </c>
      <c r="P42" s="57">
        <f t="shared" si="22"/>
        <v>0.92816419612314705</v>
      </c>
    </row>
    <row r="43" spans="2:16">
      <c r="B43" s="15" t="s">
        <v>19</v>
      </c>
      <c r="C43" s="50" t="s">
        <v>66</v>
      </c>
      <c r="D43" s="50" t="s">
        <v>29</v>
      </c>
      <c r="E43" s="50" t="s">
        <v>141</v>
      </c>
      <c r="F43" s="50" t="s">
        <v>20</v>
      </c>
      <c r="G43" s="204">
        <f>126-23.6+1.5</f>
        <v>103.9</v>
      </c>
      <c r="H43" s="204">
        <v>89.7</v>
      </c>
      <c r="I43" s="212">
        <f t="shared" si="2"/>
        <v>0.86333012512030793</v>
      </c>
      <c r="J43" s="43">
        <v>2</v>
      </c>
      <c r="K43" s="43">
        <f t="shared" si="17"/>
        <v>0</v>
      </c>
      <c r="L43" s="43">
        <f t="shared" si="18"/>
        <v>0</v>
      </c>
      <c r="M43" s="43">
        <f t="shared" si="19"/>
        <v>0</v>
      </c>
      <c r="N43" s="57">
        <f t="shared" si="20"/>
        <v>103.9</v>
      </c>
      <c r="O43" s="57">
        <f t="shared" si="21"/>
        <v>89.7</v>
      </c>
      <c r="P43" s="57">
        <f t="shared" si="22"/>
        <v>0.86333012512030793</v>
      </c>
    </row>
    <row r="44" spans="2:16" ht="25.5">
      <c r="B44" s="15" t="s">
        <v>109</v>
      </c>
      <c r="C44" s="50" t="s">
        <v>66</v>
      </c>
      <c r="D44" s="50" t="s">
        <v>29</v>
      </c>
      <c r="E44" s="50" t="s">
        <v>142</v>
      </c>
      <c r="F44" s="50"/>
      <c r="G44" s="204">
        <f>G45+G46</f>
        <v>324.3</v>
      </c>
      <c r="H44" s="204">
        <v>324.3</v>
      </c>
      <c r="I44" s="212">
        <f t="shared" si="2"/>
        <v>1</v>
      </c>
      <c r="J44" s="42"/>
      <c r="K44" s="43">
        <f t="shared" si="17"/>
        <v>0</v>
      </c>
      <c r="L44" s="43">
        <f t="shared" si="18"/>
        <v>0</v>
      </c>
      <c r="M44" s="43">
        <f t="shared" si="19"/>
        <v>0</v>
      </c>
      <c r="N44" s="57">
        <f t="shared" si="20"/>
        <v>0</v>
      </c>
      <c r="O44" s="57">
        <f t="shared" si="21"/>
        <v>0</v>
      </c>
      <c r="P44" s="57">
        <f t="shared" si="22"/>
        <v>0</v>
      </c>
    </row>
    <row r="45" spans="2:16" ht="38.25">
      <c r="B45" s="15" t="s">
        <v>17</v>
      </c>
      <c r="C45" s="50" t="s">
        <v>66</v>
      </c>
      <c r="D45" s="50" t="s">
        <v>29</v>
      </c>
      <c r="E45" s="50" t="s">
        <v>142</v>
      </c>
      <c r="F45" s="50" t="s">
        <v>18</v>
      </c>
      <c r="G45" s="204">
        <f>312.3+9.2+2.8</f>
        <v>324.3</v>
      </c>
      <c r="H45" s="204">
        <v>324.3</v>
      </c>
      <c r="I45" s="212">
        <f t="shared" si="2"/>
        <v>1</v>
      </c>
      <c r="J45" s="42">
        <v>2</v>
      </c>
      <c r="K45" s="43">
        <f t="shared" si="17"/>
        <v>0</v>
      </c>
      <c r="L45" s="43">
        <f t="shared" si="18"/>
        <v>0</v>
      </c>
      <c r="M45" s="43">
        <f t="shared" si="19"/>
        <v>0</v>
      </c>
      <c r="N45" s="57">
        <f t="shared" si="20"/>
        <v>324.3</v>
      </c>
      <c r="O45" s="57">
        <f t="shared" si="21"/>
        <v>324.3</v>
      </c>
      <c r="P45" s="57">
        <f t="shared" si="22"/>
        <v>1</v>
      </c>
    </row>
    <row r="46" spans="2:16" hidden="1">
      <c r="B46" s="15" t="s">
        <v>19</v>
      </c>
      <c r="C46" s="50" t="s">
        <v>66</v>
      </c>
      <c r="D46" s="50" t="s">
        <v>29</v>
      </c>
      <c r="E46" s="50" t="s">
        <v>142</v>
      </c>
      <c r="F46" s="50" t="s">
        <v>20</v>
      </c>
      <c r="G46" s="204">
        <f>5-1-1-3</f>
        <v>0</v>
      </c>
      <c r="H46" s="204">
        <v>0</v>
      </c>
      <c r="I46" s="212">
        <v>0</v>
      </c>
      <c r="J46" s="42">
        <v>2</v>
      </c>
      <c r="K46" s="43">
        <f t="shared" si="17"/>
        <v>0</v>
      </c>
      <c r="L46" s="43">
        <f t="shared" si="18"/>
        <v>0</v>
      </c>
      <c r="M46" s="43">
        <f t="shared" si="19"/>
        <v>0</v>
      </c>
      <c r="N46" s="57">
        <f t="shared" si="20"/>
        <v>0</v>
      </c>
      <c r="O46" s="57">
        <f t="shared" si="21"/>
        <v>0</v>
      </c>
      <c r="P46" s="57">
        <f t="shared" si="22"/>
        <v>0</v>
      </c>
    </row>
    <row r="47" spans="2:16" ht="25.5">
      <c r="B47" s="15" t="s">
        <v>110</v>
      </c>
      <c r="C47" s="50" t="s">
        <v>66</v>
      </c>
      <c r="D47" s="50" t="s">
        <v>29</v>
      </c>
      <c r="E47" s="50" t="s">
        <v>143</v>
      </c>
      <c r="F47" s="50"/>
      <c r="G47" s="204">
        <f>G48+G49</f>
        <v>321.2</v>
      </c>
      <c r="H47" s="204">
        <v>315.5</v>
      </c>
      <c r="I47" s="212">
        <f t="shared" si="2"/>
        <v>0.98225404732254051</v>
      </c>
      <c r="J47" s="42"/>
      <c r="K47" s="43">
        <f t="shared" si="17"/>
        <v>0</v>
      </c>
      <c r="L47" s="43">
        <f t="shared" si="18"/>
        <v>0</v>
      </c>
      <c r="M47" s="43">
        <f t="shared" si="19"/>
        <v>0</v>
      </c>
      <c r="N47" s="57">
        <f t="shared" si="20"/>
        <v>0</v>
      </c>
      <c r="O47" s="57">
        <f t="shared" si="21"/>
        <v>0</v>
      </c>
      <c r="P47" s="57">
        <f t="shared" si="22"/>
        <v>0</v>
      </c>
    </row>
    <row r="48" spans="2:16" ht="38.25">
      <c r="B48" s="15" t="s">
        <v>17</v>
      </c>
      <c r="C48" s="50" t="s">
        <v>66</v>
      </c>
      <c r="D48" s="50" t="s">
        <v>29</v>
      </c>
      <c r="E48" s="50" t="s">
        <v>143</v>
      </c>
      <c r="F48" s="50" t="s">
        <v>18</v>
      </c>
      <c r="G48" s="204">
        <f>207.4-1.8-0.7-1.5</f>
        <v>203.4</v>
      </c>
      <c r="H48" s="204">
        <v>198.4</v>
      </c>
      <c r="I48" s="212">
        <f t="shared" si="2"/>
        <v>0.9754178957718781</v>
      </c>
      <c r="J48" s="42">
        <v>2</v>
      </c>
      <c r="K48" s="43">
        <f t="shared" si="17"/>
        <v>0</v>
      </c>
      <c r="L48" s="43">
        <f t="shared" si="18"/>
        <v>0</v>
      </c>
      <c r="M48" s="43">
        <f t="shared" si="19"/>
        <v>0</v>
      </c>
      <c r="N48" s="57">
        <f t="shared" si="20"/>
        <v>203.4</v>
      </c>
      <c r="O48" s="57">
        <f t="shared" si="21"/>
        <v>198.4</v>
      </c>
      <c r="P48" s="57">
        <f t="shared" si="22"/>
        <v>0.9754178957718781</v>
      </c>
    </row>
    <row r="49" spans="2:16">
      <c r="B49" s="15" t="s">
        <v>19</v>
      </c>
      <c r="C49" s="50" t="s">
        <v>66</v>
      </c>
      <c r="D49" s="50" t="s">
        <v>29</v>
      </c>
      <c r="E49" s="50" t="s">
        <v>143</v>
      </c>
      <c r="F49" s="50" t="s">
        <v>20</v>
      </c>
      <c r="G49" s="204">
        <f>112+5-2+1.3+1.5</f>
        <v>117.8</v>
      </c>
      <c r="H49" s="204">
        <v>117.1</v>
      </c>
      <c r="I49" s="212">
        <f t="shared" si="2"/>
        <v>0.99405772495755518</v>
      </c>
      <c r="J49" s="42">
        <v>2</v>
      </c>
      <c r="K49" s="43">
        <f t="shared" si="17"/>
        <v>0</v>
      </c>
      <c r="L49" s="43">
        <f t="shared" si="18"/>
        <v>0</v>
      </c>
      <c r="M49" s="43">
        <f t="shared" si="19"/>
        <v>0</v>
      </c>
      <c r="N49" s="57">
        <f t="shared" si="20"/>
        <v>117.8</v>
      </c>
      <c r="O49" s="57">
        <f t="shared" si="21"/>
        <v>117.1</v>
      </c>
      <c r="P49" s="57">
        <f t="shared" si="22"/>
        <v>0.99405772495755518</v>
      </c>
    </row>
    <row r="50" spans="2:16" ht="38.25">
      <c r="B50" s="15" t="s">
        <v>927</v>
      </c>
      <c r="C50" s="50" t="s">
        <v>66</v>
      </c>
      <c r="D50" s="50" t="s">
        <v>29</v>
      </c>
      <c r="E50" s="157" t="s">
        <v>928</v>
      </c>
      <c r="F50" s="50"/>
      <c r="G50" s="204">
        <f>G51</f>
        <v>156.5</v>
      </c>
      <c r="H50" s="204">
        <v>156.5</v>
      </c>
      <c r="I50" s="212">
        <f t="shared" si="2"/>
        <v>1</v>
      </c>
      <c r="J50" s="42"/>
      <c r="K50" s="43"/>
      <c r="L50" s="43"/>
      <c r="M50" s="43"/>
      <c r="N50" s="57"/>
      <c r="O50" s="57"/>
      <c r="P50" s="57"/>
    </row>
    <row r="51" spans="2:16" ht="38.25">
      <c r="B51" s="15" t="s">
        <v>17</v>
      </c>
      <c r="C51" s="50" t="s">
        <v>66</v>
      </c>
      <c r="D51" s="50" t="s">
        <v>29</v>
      </c>
      <c r="E51" s="157" t="s">
        <v>928</v>
      </c>
      <c r="F51" s="50" t="s">
        <v>18</v>
      </c>
      <c r="G51" s="204">
        <v>156.5</v>
      </c>
      <c r="H51" s="204">
        <v>156.5</v>
      </c>
      <c r="I51" s="212">
        <f t="shared" si="2"/>
        <v>1</v>
      </c>
      <c r="J51" s="42"/>
      <c r="K51" s="43"/>
      <c r="L51" s="43"/>
      <c r="M51" s="43"/>
      <c r="N51" s="57"/>
      <c r="O51" s="57"/>
      <c r="P51" s="57"/>
    </row>
    <row r="52" spans="2:16" s="6" customFormat="1">
      <c r="B52" s="14" t="s">
        <v>836</v>
      </c>
      <c r="C52" s="11" t="s">
        <v>66</v>
      </c>
      <c r="D52" s="11" t="s">
        <v>838</v>
      </c>
      <c r="E52" s="11"/>
      <c r="F52" s="11"/>
      <c r="G52" s="203">
        <f>G53</f>
        <v>13.6</v>
      </c>
      <c r="H52" s="203">
        <v>0</v>
      </c>
      <c r="I52" s="207">
        <f t="shared" si="2"/>
        <v>0</v>
      </c>
      <c r="J52" s="13"/>
      <c r="K52" s="46"/>
      <c r="L52" s="46"/>
      <c r="M52" s="46"/>
      <c r="N52" s="58"/>
      <c r="O52" s="58"/>
      <c r="P52" s="58"/>
    </row>
    <row r="53" spans="2:16" ht="25.5">
      <c r="B53" s="15" t="s">
        <v>839</v>
      </c>
      <c r="C53" s="50" t="s">
        <v>66</v>
      </c>
      <c r="D53" s="50" t="s">
        <v>838</v>
      </c>
      <c r="E53" s="50" t="s">
        <v>840</v>
      </c>
      <c r="F53" s="50"/>
      <c r="G53" s="204">
        <f>G54</f>
        <v>13.6</v>
      </c>
      <c r="H53" s="204">
        <v>0</v>
      </c>
      <c r="I53" s="212">
        <f t="shared" si="2"/>
        <v>0</v>
      </c>
      <c r="J53" s="42"/>
      <c r="K53" s="43"/>
      <c r="L53" s="43"/>
      <c r="M53" s="43"/>
      <c r="N53" s="57"/>
      <c r="O53" s="57"/>
      <c r="P53" s="57"/>
    </row>
    <row r="54" spans="2:16">
      <c r="B54" s="15" t="s">
        <v>19</v>
      </c>
      <c r="C54" s="50" t="s">
        <v>66</v>
      </c>
      <c r="D54" s="50" t="s">
        <v>838</v>
      </c>
      <c r="E54" s="50" t="s">
        <v>840</v>
      </c>
      <c r="F54" s="50" t="s">
        <v>20</v>
      </c>
      <c r="G54" s="204">
        <v>13.6</v>
      </c>
      <c r="H54" s="204">
        <v>0</v>
      </c>
      <c r="I54" s="212">
        <f t="shared" si="2"/>
        <v>0</v>
      </c>
      <c r="J54" s="42"/>
      <c r="K54" s="43"/>
      <c r="L54" s="43"/>
      <c r="M54" s="43"/>
      <c r="N54" s="57"/>
      <c r="O54" s="57"/>
      <c r="P54" s="57"/>
    </row>
    <row r="55" spans="2:16">
      <c r="B55" s="14" t="s">
        <v>67</v>
      </c>
      <c r="C55" s="11" t="s">
        <v>66</v>
      </c>
      <c r="D55" s="11" t="s">
        <v>59</v>
      </c>
      <c r="E55" s="11"/>
      <c r="F55" s="11"/>
      <c r="G55" s="203">
        <f>G56</f>
        <v>100</v>
      </c>
      <c r="H55" s="203">
        <v>0</v>
      </c>
      <c r="I55" s="207">
        <f t="shared" si="2"/>
        <v>0</v>
      </c>
      <c r="J55" s="42"/>
      <c r="K55" s="43">
        <f t="shared" si="17"/>
        <v>0</v>
      </c>
      <c r="L55" s="43">
        <f t="shared" si="18"/>
        <v>0</v>
      </c>
      <c r="M55" s="43">
        <f t="shared" si="19"/>
        <v>0</v>
      </c>
      <c r="N55" s="57">
        <f t="shared" si="20"/>
        <v>0</v>
      </c>
      <c r="O55" s="57">
        <f t="shared" si="21"/>
        <v>0</v>
      </c>
      <c r="P55" s="57">
        <f t="shared" si="22"/>
        <v>0</v>
      </c>
    </row>
    <row r="56" spans="2:16">
      <c r="B56" s="15" t="s">
        <v>72</v>
      </c>
      <c r="C56" s="50" t="s">
        <v>66</v>
      </c>
      <c r="D56" s="50" t="s">
        <v>59</v>
      </c>
      <c r="E56" s="50" t="s">
        <v>139</v>
      </c>
      <c r="F56" s="50"/>
      <c r="G56" s="204">
        <f t="shared" ref="G56:G57" si="23">G57</f>
        <v>100</v>
      </c>
      <c r="H56" s="204">
        <v>0</v>
      </c>
      <c r="I56" s="212">
        <f t="shared" si="2"/>
        <v>0</v>
      </c>
      <c r="J56" s="42"/>
      <c r="K56" s="43">
        <f t="shared" si="17"/>
        <v>0</v>
      </c>
      <c r="L56" s="43">
        <f t="shared" si="18"/>
        <v>0</v>
      </c>
      <c r="M56" s="43">
        <f t="shared" si="19"/>
        <v>0</v>
      </c>
      <c r="N56" s="57">
        <f t="shared" si="20"/>
        <v>0</v>
      </c>
      <c r="O56" s="57">
        <f t="shared" si="21"/>
        <v>0</v>
      </c>
      <c r="P56" s="57">
        <f t="shared" si="22"/>
        <v>0</v>
      </c>
    </row>
    <row r="57" spans="2:16">
      <c r="B57" s="15" t="s">
        <v>67</v>
      </c>
      <c r="C57" s="50" t="s">
        <v>66</v>
      </c>
      <c r="D57" s="50" t="s">
        <v>59</v>
      </c>
      <c r="E57" s="50" t="s">
        <v>145</v>
      </c>
      <c r="F57" s="50"/>
      <c r="G57" s="204">
        <f t="shared" si="23"/>
        <v>100</v>
      </c>
      <c r="H57" s="204">
        <v>0</v>
      </c>
      <c r="I57" s="212">
        <f t="shared" si="2"/>
        <v>0</v>
      </c>
      <c r="J57" s="42"/>
      <c r="K57" s="43">
        <f t="shared" si="17"/>
        <v>0</v>
      </c>
      <c r="L57" s="43">
        <f t="shared" si="18"/>
        <v>0</v>
      </c>
      <c r="M57" s="43">
        <f t="shared" si="19"/>
        <v>0</v>
      </c>
      <c r="N57" s="57">
        <f t="shared" si="20"/>
        <v>0</v>
      </c>
      <c r="O57" s="57">
        <f t="shared" si="21"/>
        <v>0</v>
      </c>
      <c r="P57" s="57">
        <f t="shared" si="22"/>
        <v>0</v>
      </c>
    </row>
    <row r="58" spans="2:16">
      <c r="B58" s="15" t="s">
        <v>21</v>
      </c>
      <c r="C58" s="50" t="s">
        <v>66</v>
      </c>
      <c r="D58" s="50" t="s">
        <v>59</v>
      </c>
      <c r="E58" s="50" t="s">
        <v>145</v>
      </c>
      <c r="F58" s="50" t="s">
        <v>22</v>
      </c>
      <c r="G58" s="204">
        <f>200-200+100</f>
        <v>100</v>
      </c>
      <c r="H58" s="117">
        <v>0</v>
      </c>
      <c r="I58" s="212">
        <f t="shared" si="2"/>
        <v>0</v>
      </c>
      <c r="J58" s="42">
        <v>1</v>
      </c>
      <c r="K58" s="43">
        <f t="shared" si="17"/>
        <v>100</v>
      </c>
      <c r="L58" s="43">
        <f t="shared" si="18"/>
        <v>0</v>
      </c>
      <c r="M58" s="43">
        <f t="shared" si="19"/>
        <v>0</v>
      </c>
      <c r="N58" s="57">
        <f t="shared" si="20"/>
        <v>0</v>
      </c>
      <c r="O58" s="57">
        <f t="shared" si="21"/>
        <v>0</v>
      </c>
      <c r="P58" s="57">
        <f t="shared" si="22"/>
        <v>0</v>
      </c>
    </row>
    <row r="59" spans="2:16">
      <c r="B59" s="14" t="s">
        <v>193</v>
      </c>
      <c r="C59" s="11" t="s">
        <v>66</v>
      </c>
      <c r="D59" s="11" t="s">
        <v>24</v>
      </c>
      <c r="E59" s="11"/>
      <c r="F59" s="11"/>
      <c r="G59" s="203">
        <f>G60</f>
        <v>27870.999999999996</v>
      </c>
      <c r="H59" s="203">
        <v>26122.1</v>
      </c>
      <c r="I59" s="207">
        <f t="shared" si="2"/>
        <v>0.93725018836783758</v>
      </c>
      <c r="J59" s="42"/>
      <c r="K59" s="43">
        <f t="shared" si="17"/>
        <v>0</v>
      </c>
      <c r="L59" s="43">
        <f t="shared" si="18"/>
        <v>0</v>
      </c>
      <c r="M59" s="43">
        <f t="shared" si="19"/>
        <v>0</v>
      </c>
      <c r="N59" s="57">
        <f t="shared" si="20"/>
        <v>0</v>
      </c>
      <c r="O59" s="57">
        <f t="shared" si="21"/>
        <v>0</v>
      </c>
      <c r="P59" s="57">
        <f t="shared" si="22"/>
        <v>0</v>
      </c>
    </row>
    <row r="60" spans="2:16">
      <c r="B60" s="15" t="s">
        <v>72</v>
      </c>
      <c r="C60" s="50" t="s">
        <v>66</v>
      </c>
      <c r="D60" s="50" t="s">
        <v>24</v>
      </c>
      <c r="E60" s="50" t="s">
        <v>139</v>
      </c>
      <c r="F60" s="50"/>
      <c r="G60" s="204">
        <f>G63+G70+G76+G84+G88+G90+G61+G79+G92+G72+G67+G74+G86+G81</f>
        <v>27870.999999999996</v>
      </c>
      <c r="H60" s="204">
        <v>26122.1</v>
      </c>
      <c r="I60" s="212">
        <f t="shared" si="2"/>
        <v>0.93725018836783758</v>
      </c>
      <c r="J60" s="42"/>
      <c r="K60" s="43">
        <f t="shared" si="17"/>
        <v>0</v>
      </c>
      <c r="L60" s="43">
        <f t="shared" si="18"/>
        <v>0</v>
      </c>
      <c r="M60" s="43">
        <f t="shared" si="19"/>
        <v>0</v>
      </c>
      <c r="N60" s="57">
        <f t="shared" si="20"/>
        <v>0</v>
      </c>
      <c r="O60" s="57">
        <f t="shared" si="21"/>
        <v>0</v>
      </c>
      <c r="P60" s="57">
        <f t="shared" si="22"/>
        <v>0</v>
      </c>
    </row>
    <row r="61" spans="2:16">
      <c r="B61" s="15" t="s">
        <v>390</v>
      </c>
      <c r="C61" s="50" t="s">
        <v>66</v>
      </c>
      <c r="D61" s="50" t="s">
        <v>24</v>
      </c>
      <c r="E61" s="50" t="s">
        <v>148</v>
      </c>
      <c r="F61" s="50"/>
      <c r="G61" s="204">
        <f>G62</f>
        <v>150</v>
      </c>
      <c r="H61" s="204">
        <v>0</v>
      </c>
      <c r="I61" s="212">
        <f t="shared" si="2"/>
        <v>0</v>
      </c>
      <c r="J61" s="42"/>
      <c r="K61" s="43">
        <f t="shared" si="17"/>
        <v>0</v>
      </c>
      <c r="L61" s="43">
        <f t="shared" si="18"/>
        <v>0</v>
      </c>
      <c r="M61" s="43">
        <f t="shared" si="19"/>
        <v>0</v>
      </c>
      <c r="N61" s="57">
        <f t="shared" si="20"/>
        <v>0</v>
      </c>
      <c r="O61" s="57">
        <f t="shared" si="21"/>
        <v>0</v>
      </c>
      <c r="P61" s="57">
        <f t="shared" si="22"/>
        <v>0</v>
      </c>
    </row>
    <row r="62" spans="2:16">
      <c r="B62" s="15" t="s">
        <v>19</v>
      </c>
      <c r="C62" s="50" t="s">
        <v>66</v>
      </c>
      <c r="D62" s="50" t="s">
        <v>24</v>
      </c>
      <c r="E62" s="50" t="s">
        <v>148</v>
      </c>
      <c r="F62" s="50" t="s">
        <v>20</v>
      </c>
      <c r="G62" s="204">
        <f>159-9</f>
        <v>150</v>
      </c>
      <c r="H62" s="204">
        <v>0</v>
      </c>
      <c r="I62" s="212">
        <f t="shared" si="2"/>
        <v>0</v>
      </c>
      <c r="J62" s="42">
        <v>1</v>
      </c>
      <c r="K62" s="43">
        <f t="shared" si="17"/>
        <v>150</v>
      </c>
      <c r="L62" s="43">
        <f t="shared" si="18"/>
        <v>0</v>
      </c>
      <c r="M62" s="43">
        <f t="shared" si="19"/>
        <v>0</v>
      </c>
      <c r="N62" s="57">
        <f t="shared" si="20"/>
        <v>0</v>
      </c>
      <c r="O62" s="57">
        <f t="shared" si="21"/>
        <v>0</v>
      </c>
      <c r="P62" s="57">
        <f t="shared" si="22"/>
        <v>0</v>
      </c>
    </row>
    <row r="63" spans="2:16">
      <c r="B63" s="15" t="s">
        <v>264</v>
      </c>
      <c r="C63" s="50" t="s">
        <v>66</v>
      </c>
      <c r="D63" s="50" t="s">
        <v>24</v>
      </c>
      <c r="E63" s="50" t="s">
        <v>148</v>
      </c>
      <c r="F63" s="50"/>
      <c r="G63" s="204">
        <f>G64+G65+G66</f>
        <v>13493.4</v>
      </c>
      <c r="H63" s="204">
        <v>11992.1</v>
      </c>
      <c r="I63" s="212">
        <f t="shared" si="2"/>
        <v>0.88873819793380471</v>
      </c>
      <c r="J63" s="42"/>
      <c r="K63" s="43">
        <f t="shared" si="17"/>
        <v>0</v>
      </c>
      <c r="L63" s="43">
        <f t="shared" si="18"/>
        <v>0</v>
      </c>
      <c r="M63" s="43">
        <f t="shared" si="19"/>
        <v>0</v>
      </c>
      <c r="N63" s="57">
        <f t="shared" si="20"/>
        <v>0</v>
      </c>
      <c r="O63" s="57">
        <f t="shared" si="21"/>
        <v>0</v>
      </c>
      <c r="P63" s="57">
        <f t="shared" si="22"/>
        <v>0</v>
      </c>
    </row>
    <row r="64" spans="2:16" ht="38.25">
      <c r="B64" s="15" t="s">
        <v>17</v>
      </c>
      <c r="C64" s="50" t="s">
        <v>66</v>
      </c>
      <c r="D64" s="50" t="s">
        <v>24</v>
      </c>
      <c r="E64" s="50" t="s">
        <v>148</v>
      </c>
      <c r="F64" s="50" t="s">
        <v>18</v>
      </c>
      <c r="G64" s="204">
        <f>7020+2300+700-2300-700-230-70</f>
        <v>6720</v>
      </c>
      <c r="H64" s="204">
        <v>6324</v>
      </c>
      <c r="I64" s="212">
        <f t="shared" si="2"/>
        <v>0.94107142857142856</v>
      </c>
      <c r="J64" s="42">
        <v>1</v>
      </c>
      <c r="K64" s="43">
        <f t="shared" si="17"/>
        <v>6720</v>
      </c>
      <c r="L64" s="43">
        <f t="shared" si="18"/>
        <v>6324</v>
      </c>
      <c r="M64" s="43">
        <f t="shared" si="19"/>
        <v>0.94107142857142856</v>
      </c>
      <c r="N64" s="57">
        <f t="shared" si="20"/>
        <v>0</v>
      </c>
      <c r="O64" s="57">
        <f t="shared" si="21"/>
        <v>0</v>
      </c>
      <c r="P64" s="57">
        <f t="shared" si="22"/>
        <v>0</v>
      </c>
    </row>
    <row r="65" spans="2:16">
      <c r="B65" s="15" t="s">
        <v>19</v>
      </c>
      <c r="C65" s="50" t="s">
        <v>66</v>
      </c>
      <c r="D65" s="50" t="s">
        <v>24</v>
      </c>
      <c r="E65" s="50" t="s">
        <v>148</v>
      </c>
      <c r="F65" s="50" t="s">
        <v>20</v>
      </c>
      <c r="G65" s="204">
        <f>610.5+4720+500+100+20+650+60+132.9-6-10-2-2</f>
        <v>6773.4</v>
      </c>
      <c r="H65" s="204">
        <v>5668.1</v>
      </c>
      <c r="I65" s="212">
        <f t="shared" si="2"/>
        <v>0.83681755100835631</v>
      </c>
      <c r="J65" s="42">
        <v>1</v>
      </c>
      <c r="K65" s="43">
        <f t="shared" si="17"/>
        <v>6773.4</v>
      </c>
      <c r="L65" s="43">
        <f t="shared" si="18"/>
        <v>5668.1</v>
      </c>
      <c r="M65" s="43">
        <f t="shared" si="19"/>
        <v>0.83681755100835631</v>
      </c>
      <c r="N65" s="57">
        <f t="shared" si="20"/>
        <v>0</v>
      </c>
      <c r="O65" s="57">
        <f t="shared" si="21"/>
        <v>0</v>
      </c>
      <c r="P65" s="57">
        <f t="shared" si="22"/>
        <v>0</v>
      </c>
    </row>
    <row r="66" spans="2:16" ht="25.5" hidden="1">
      <c r="B66" s="15" t="s">
        <v>566</v>
      </c>
      <c r="C66" s="50" t="s">
        <v>66</v>
      </c>
      <c r="D66" s="50" t="s">
        <v>24</v>
      </c>
      <c r="E66" s="50" t="s">
        <v>148</v>
      </c>
      <c r="F66" s="50" t="s">
        <v>26</v>
      </c>
      <c r="G66" s="204">
        <v>0</v>
      </c>
      <c r="H66" s="204"/>
      <c r="I66" s="212" t="e">
        <f t="shared" si="2"/>
        <v>#DIV/0!</v>
      </c>
      <c r="J66" s="42">
        <v>1</v>
      </c>
      <c r="K66" s="43">
        <f t="shared" si="17"/>
        <v>0</v>
      </c>
      <c r="L66" s="43">
        <f t="shared" si="18"/>
        <v>0</v>
      </c>
      <c r="M66" s="43" t="e">
        <f t="shared" si="19"/>
        <v>#DIV/0!</v>
      </c>
      <c r="N66" s="57">
        <f t="shared" si="20"/>
        <v>0</v>
      </c>
      <c r="O66" s="57">
        <f t="shared" si="21"/>
        <v>0</v>
      </c>
      <c r="P66" s="57">
        <f t="shared" si="22"/>
        <v>0</v>
      </c>
    </row>
    <row r="67" spans="2:16">
      <c r="B67" s="15" t="s">
        <v>835</v>
      </c>
      <c r="C67" s="50" t="s">
        <v>66</v>
      </c>
      <c r="D67" s="50" t="s">
        <v>24</v>
      </c>
      <c r="E67" s="50" t="s">
        <v>148</v>
      </c>
      <c r="F67" s="50"/>
      <c r="G67" s="204">
        <f>G68+G69</f>
        <v>12</v>
      </c>
      <c r="H67" s="204">
        <v>1.5</v>
      </c>
      <c r="I67" s="212">
        <f t="shared" si="2"/>
        <v>0.125</v>
      </c>
      <c r="J67" s="42"/>
      <c r="K67" s="43"/>
      <c r="L67" s="43"/>
      <c r="M67" s="43"/>
      <c r="N67" s="57"/>
      <c r="O67" s="57"/>
      <c r="P67" s="57"/>
    </row>
    <row r="68" spans="2:16">
      <c r="B68" s="15" t="s">
        <v>19</v>
      </c>
      <c r="C68" s="50" t="s">
        <v>66</v>
      </c>
      <c r="D68" s="50" t="s">
        <v>24</v>
      </c>
      <c r="E68" s="50" t="s">
        <v>148</v>
      </c>
      <c r="F68" s="50" t="s">
        <v>20</v>
      </c>
      <c r="G68" s="204">
        <f>5+2+2</f>
        <v>9</v>
      </c>
      <c r="H68" s="204">
        <v>0</v>
      </c>
      <c r="I68" s="212">
        <f t="shared" si="2"/>
        <v>0</v>
      </c>
      <c r="J68" s="42"/>
      <c r="K68" s="43"/>
      <c r="L68" s="43"/>
      <c r="M68" s="43"/>
      <c r="N68" s="57"/>
      <c r="O68" s="57"/>
      <c r="P68" s="57"/>
    </row>
    <row r="69" spans="2:16">
      <c r="B69" s="15" t="s">
        <v>21</v>
      </c>
      <c r="C69" s="50" t="s">
        <v>66</v>
      </c>
      <c r="D69" s="50" t="s">
        <v>24</v>
      </c>
      <c r="E69" s="50" t="s">
        <v>148</v>
      </c>
      <c r="F69" s="50" t="s">
        <v>22</v>
      </c>
      <c r="G69" s="204">
        <v>3</v>
      </c>
      <c r="H69" s="204">
        <v>1.5</v>
      </c>
      <c r="I69" s="212">
        <f t="shared" si="2"/>
        <v>0.5</v>
      </c>
      <c r="J69" s="42"/>
      <c r="K69" s="43"/>
      <c r="L69" s="43"/>
      <c r="M69" s="43"/>
      <c r="N69" s="57"/>
      <c r="O69" s="57"/>
      <c r="P69" s="57"/>
    </row>
    <row r="70" spans="2:16">
      <c r="B70" s="15" t="s">
        <v>100</v>
      </c>
      <c r="C70" s="50" t="s">
        <v>66</v>
      </c>
      <c r="D70" s="50" t="s">
        <v>24</v>
      </c>
      <c r="E70" s="50" t="s">
        <v>151</v>
      </c>
      <c r="F70" s="50"/>
      <c r="G70" s="204">
        <f>G71</f>
        <v>95</v>
      </c>
      <c r="H70" s="204">
        <v>79.400000000000006</v>
      </c>
      <c r="I70" s="212">
        <f t="shared" si="2"/>
        <v>0.83578947368421064</v>
      </c>
      <c r="J70" s="42"/>
      <c r="K70" s="43">
        <f t="shared" si="17"/>
        <v>0</v>
      </c>
      <c r="L70" s="43">
        <f t="shared" si="18"/>
        <v>0</v>
      </c>
      <c r="M70" s="43">
        <f t="shared" si="19"/>
        <v>0</v>
      </c>
      <c r="N70" s="57">
        <f t="shared" si="20"/>
        <v>0</v>
      </c>
      <c r="O70" s="57">
        <f t="shared" si="21"/>
        <v>0</v>
      </c>
      <c r="P70" s="57">
        <f t="shared" si="22"/>
        <v>0</v>
      </c>
    </row>
    <row r="71" spans="2:16">
      <c r="B71" s="15" t="s">
        <v>21</v>
      </c>
      <c r="C71" s="50" t="s">
        <v>66</v>
      </c>
      <c r="D71" s="50" t="s">
        <v>24</v>
      </c>
      <c r="E71" s="50" t="s">
        <v>151</v>
      </c>
      <c r="F71" s="50" t="s">
        <v>22</v>
      </c>
      <c r="G71" s="204">
        <f>70+9+5+1+10</f>
        <v>95</v>
      </c>
      <c r="H71" s="204">
        <v>79.400000000000006</v>
      </c>
      <c r="I71" s="212">
        <f t="shared" si="2"/>
        <v>0.83578947368421064</v>
      </c>
      <c r="J71" s="42">
        <v>1</v>
      </c>
      <c r="K71" s="43">
        <f t="shared" si="17"/>
        <v>95</v>
      </c>
      <c r="L71" s="43">
        <f t="shared" si="18"/>
        <v>79.400000000000006</v>
      </c>
      <c r="M71" s="43">
        <f t="shared" si="19"/>
        <v>0.83578947368421064</v>
      </c>
      <c r="N71" s="57">
        <f t="shared" si="20"/>
        <v>0</v>
      </c>
      <c r="O71" s="57">
        <f t="shared" si="21"/>
        <v>0</v>
      </c>
      <c r="P71" s="57">
        <f t="shared" si="22"/>
        <v>0</v>
      </c>
    </row>
    <row r="72" spans="2:16" ht="40.5" hidden="1" customHeight="1">
      <c r="B72" s="15" t="s">
        <v>623</v>
      </c>
      <c r="C72" s="50" t="s">
        <v>66</v>
      </c>
      <c r="D72" s="50" t="s">
        <v>24</v>
      </c>
      <c r="E72" s="50" t="s">
        <v>622</v>
      </c>
      <c r="F72" s="50"/>
      <c r="G72" s="204">
        <v>0</v>
      </c>
      <c r="H72" s="204"/>
      <c r="I72" s="212" t="e">
        <f t="shared" si="2"/>
        <v>#DIV/0!</v>
      </c>
      <c r="J72" s="42"/>
      <c r="K72" s="43">
        <f t="shared" si="17"/>
        <v>0</v>
      </c>
      <c r="L72" s="43">
        <f t="shared" si="18"/>
        <v>0</v>
      </c>
      <c r="M72" s="43">
        <f t="shared" si="19"/>
        <v>0</v>
      </c>
      <c r="N72" s="57">
        <f t="shared" si="20"/>
        <v>0</v>
      </c>
      <c r="O72" s="57">
        <f t="shared" si="21"/>
        <v>0</v>
      </c>
      <c r="P72" s="57">
        <f t="shared" si="22"/>
        <v>0</v>
      </c>
    </row>
    <row r="73" spans="2:16" ht="40.5" hidden="1" customHeight="1">
      <c r="B73" s="15" t="s">
        <v>17</v>
      </c>
      <c r="C73" s="50" t="s">
        <v>66</v>
      </c>
      <c r="D73" s="50" t="s">
        <v>24</v>
      </c>
      <c r="E73" s="50" t="s">
        <v>622</v>
      </c>
      <c r="F73" s="50" t="s">
        <v>18</v>
      </c>
      <c r="G73" s="204">
        <v>0</v>
      </c>
      <c r="H73" s="204"/>
      <c r="I73" s="212" t="e">
        <f t="shared" si="2"/>
        <v>#DIV/0!</v>
      </c>
      <c r="J73" s="42">
        <v>2</v>
      </c>
      <c r="K73" s="43">
        <f t="shared" si="17"/>
        <v>0</v>
      </c>
      <c r="L73" s="43">
        <f t="shared" si="18"/>
        <v>0</v>
      </c>
      <c r="M73" s="43">
        <f t="shared" si="19"/>
        <v>0</v>
      </c>
      <c r="N73" s="57">
        <f t="shared" si="20"/>
        <v>0</v>
      </c>
      <c r="O73" s="57">
        <f t="shared" si="21"/>
        <v>0</v>
      </c>
      <c r="P73" s="57" t="e">
        <f t="shared" si="22"/>
        <v>#DIV/0!</v>
      </c>
    </row>
    <row r="74" spans="2:16" ht="13.5" customHeight="1">
      <c r="B74" s="15" t="s">
        <v>841</v>
      </c>
      <c r="C74" s="50" t="s">
        <v>66</v>
      </c>
      <c r="D74" s="50" t="s">
        <v>24</v>
      </c>
      <c r="E74" s="50" t="s">
        <v>533</v>
      </c>
      <c r="F74" s="50"/>
      <c r="G74" s="204">
        <f>G75</f>
        <v>263.60000000000002</v>
      </c>
      <c r="H74" s="204">
        <v>260.5</v>
      </c>
      <c r="I74" s="212">
        <f t="shared" ref="I74:I89" si="24">H74/G74</f>
        <v>0.9882397572078907</v>
      </c>
      <c r="J74" s="42"/>
      <c r="K74" s="43"/>
      <c r="L74" s="43"/>
      <c r="M74" s="43"/>
      <c r="N74" s="57"/>
      <c r="O74" s="57"/>
      <c r="P74" s="57"/>
    </row>
    <row r="75" spans="2:16" ht="17.25" customHeight="1">
      <c r="B75" s="15" t="s">
        <v>19</v>
      </c>
      <c r="C75" s="50" t="s">
        <v>66</v>
      </c>
      <c r="D75" s="50" t="s">
        <v>24</v>
      </c>
      <c r="E75" s="50" t="s">
        <v>533</v>
      </c>
      <c r="F75" s="50" t="s">
        <v>20</v>
      </c>
      <c r="G75" s="204">
        <v>263.60000000000002</v>
      </c>
      <c r="H75" s="204">
        <v>260.5</v>
      </c>
      <c r="I75" s="212">
        <f t="shared" si="24"/>
        <v>0.9882397572078907</v>
      </c>
      <c r="J75" s="42"/>
      <c r="K75" s="43"/>
      <c r="L75" s="43"/>
      <c r="M75" s="43"/>
      <c r="N75" s="57"/>
      <c r="O75" s="57"/>
      <c r="P75" s="57"/>
    </row>
    <row r="76" spans="2:16" ht="27.75" customHeight="1">
      <c r="B76" s="15" t="s">
        <v>112</v>
      </c>
      <c r="C76" s="50" t="s">
        <v>66</v>
      </c>
      <c r="D76" s="50" t="s">
        <v>24</v>
      </c>
      <c r="E76" s="50" t="s">
        <v>149</v>
      </c>
      <c r="F76" s="50"/>
      <c r="G76" s="204">
        <f>G77+G78</f>
        <v>1041.5999999999999</v>
      </c>
      <c r="H76" s="204">
        <v>1038.4000000000001</v>
      </c>
      <c r="I76" s="212">
        <f t="shared" si="24"/>
        <v>0.99692780337941644</v>
      </c>
      <c r="J76" s="42"/>
      <c r="K76" s="43">
        <f t="shared" si="17"/>
        <v>0</v>
      </c>
      <c r="L76" s="43">
        <f t="shared" si="18"/>
        <v>0</v>
      </c>
      <c r="M76" s="43">
        <f t="shared" si="19"/>
        <v>0</v>
      </c>
      <c r="N76" s="57">
        <f t="shared" si="20"/>
        <v>0</v>
      </c>
      <c r="O76" s="57">
        <f t="shared" si="21"/>
        <v>0</v>
      </c>
      <c r="P76" s="57">
        <f t="shared" si="22"/>
        <v>0</v>
      </c>
    </row>
    <row r="77" spans="2:16" ht="38.25">
      <c r="B77" s="15" t="s">
        <v>17</v>
      </c>
      <c r="C77" s="50" t="s">
        <v>66</v>
      </c>
      <c r="D77" s="50" t="s">
        <v>24</v>
      </c>
      <c r="E77" s="50" t="s">
        <v>149</v>
      </c>
      <c r="F77" s="50" t="s">
        <v>18</v>
      </c>
      <c r="G77" s="204">
        <f>1032.7-37.9-11+22.9+6.9+1.3+1.7</f>
        <v>1016.6</v>
      </c>
      <c r="H77" s="204">
        <v>1016.6</v>
      </c>
      <c r="I77" s="212">
        <f t="shared" si="24"/>
        <v>1</v>
      </c>
      <c r="J77" s="42">
        <v>2</v>
      </c>
      <c r="K77" s="43">
        <f t="shared" si="17"/>
        <v>0</v>
      </c>
      <c r="L77" s="43">
        <f t="shared" si="18"/>
        <v>0</v>
      </c>
      <c r="M77" s="43">
        <f t="shared" si="19"/>
        <v>0</v>
      </c>
      <c r="N77" s="57">
        <f t="shared" si="20"/>
        <v>1016.6</v>
      </c>
      <c r="O77" s="57">
        <f t="shared" si="21"/>
        <v>1016.6</v>
      </c>
      <c r="P77" s="57">
        <f t="shared" si="22"/>
        <v>1</v>
      </c>
    </row>
    <row r="78" spans="2:16">
      <c r="B78" s="15" t="s">
        <v>19</v>
      </c>
      <c r="C78" s="50" t="s">
        <v>66</v>
      </c>
      <c r="D78" s="50" t="s">
        <v>24</v>
      </c>
      <c r="E78" s="50" t="s">
        <v>149</v>
      </c>
      <c r="F78" s="50" t="s">
        <v>20</v>
      </c>
      <c r="G78" s="204">
        <f>25+2-1+2-1.3-1.7</f>
        <v>25</v>
      </c>
      <c r="H78" s="204">
        <v>21.8</v>
      </c>
      <c r="I78" s="212">
        <f t="shared" si="24"/>
        <v>0.872</v>
      </c>
      <c r="J78" s="42">
        <v>2</v>
      </c>
      <c r="K78" s="43">
        <f t="shared" si="17"/>
        <v>0</v>
      </c>
      <c r="L78" s="43">
        <f t="shared" si="18"/>
        <v>0</v>
      </c>
      <c r="M78" s="43">
        <f t="shared" si="19"/>
        <v>0</v>
      </c>
      <c r="N78" s="57">
        <f t="shared" si="20"/>
        <v>25</v>
      </c>
      <c r="O78" s="57">
        <f t="shared" si="21"/>
        <v>21.8</v>
      </c>
      <c r="P78" s="57">
        <f t="shared" si="22"/>
        <v>0.872</v>
      </c>
    </row>
    <row r="79" spans="2:16" hidden="1">
      <c r="B79" s="15" t="s">
        <v>539</v>
      </c>
      <c r="C79" s="50" t="s">
        <v>66</v>
      </c>
      <c r="D79" s="50" t="s">
        <v>24</v>
      </c>
      <c r="E79" s="50" t="s">
        <v>533</v>
      </c>
      <c r="F79" s="50"/>
      <c r="G79" s="204">
        <v>0</v>
      </c>
      <c r="H79" s="204"/>
      <c r="I79" s="212" t="e">
        <f t="shared" si="24"/>
        <v>#DIV/0!</v>
      </c>
      <c r="J79" s="42"/>
      <c r="K79" s="43">
        <f t="shared" si="17"/>
        <v>0</v>
      </c>
      <c r="L79" s="43">
        <f t="shared" si="18"/>
        <v>0</v>
      </c>
      <c r="M79" s="43">
        <f t="shared" si="19"/>
        <v>0</v>
      </c>
      <c r="N79" s="57">
        <f t="shared" si="20"/>
        <v>0</v>
      </c>
      <c r="O79" s="57">
        <f t="shared" si="21"/>
        <v>0</v>
      </c>
      <c r="P79" s="57">
        <f t="shared" si="22"/>
        <v>0</v>
      </c>
    </row>
    <row r="80" spans="2:16" hidden="1">
      <c r="B80" s="15" t="s">
        <v>19</v>
      </c>
      <c r="C80" s="50" t="s">
        <v>66</v>
      </c>
      <c r="D80" s="50" t="s">
        <v>24</v>
      </c>
      <c r="E80" s="50" t="s">
        <v>533</v>
      </c>
      <c r="F80" s="50" t="s">
        <v>20</v>
      </c>
      <c r="G80" s="204">
        <v>0</v>
      </c>
      <c r="H80" s="204"/>
      <c r="I80" s="212" t="e">
        <f t="shared" si="24"/>
        <v>#DIV/0!</v>
      </c>
      <c r="J80" s="42">
        <v>2</v>
      </c>
      <c r="K80" s="43">
        <f t="shared" si="17"/>
        <v>0</v>
      </c>
      <c r="L80" s="43">
        <f t="shared" si="18"/>
        <v>0</v>
      </c>
      <c r="M80" s="43">
        <f t="shared" si="19"/>
        <v>0</v>
      </c>
      <c r="N80" s="57">
        <f t="shared" si="20"/>
        <v>0</v>
      </c>
      <c r="O80" s="57">
        <f t="shared" si="21"/>
        <v>0</v>
      </c>
      <c r="P80" s="57" t="e">
        <f t="shared" si="22"/>
        <v>#DIV/0!</v>
      </c>
    </row>
    <row r="81" spans="2:16" ht="38.25">
      <c r="B81" s="15" t="s">
        <v>929</v>
      </c>
      <c r="C81" s="50" t="s">
        <v>66</v>
      </c>
      <c r="D81" s="50" t="s">
        <v>24</v>
      </c>
      <c r="E81" s="50" t="s">
        <v>930</v>
      </c>
      <c r="F81" s="50"/>
      <c r="G81" s="204">
        <f>G82+G83</f>
        <v>298.3</v>
      </c>
      <c r="H81" s="204">
        <v>278.7</v>
      </c>
      <c r="I81" s="212">
        <f t="shared" si="24"/>
        <v>0.93429433456252087</v>
      </c>
      <c r="J81" s="42"/>
      <c r="K81" s="43"/>
      <c r="L81" s="43"/>
      <c r="M81" s="43"/>
      <c r="N81" s="57"/>
      <c r="O81" s="57"/>
      <c r="P81" s="57"/>
    </row>
    <row r="82" spans="2:16" ht="25.5">
      <c r="B82" s="15" t="s">
        <v>509</v>
      </c>
      <c r="C82" s="50" t="s">
        <v>66</v>
      </c>
      <c r="D82" s="50" t="s">
        <v>24</v>
      </c>
      <c r="E82" s="50" t="s">
        <v>930</v>
      </c>
      <c r="F82" s="50" t="s">
        <v>20</v>
      </c>
      <c r="G82" s="204">
        <f>125.3+170</f>
        <v>295.3</v>
      </c>
      <c r="H82" s="204">
        <v>275.8</v>
      </c>
      <c r="I82" s="212">
        <f t="shared" si="24"/>
        <v>0.93396545885540128</v>
      </c>
      <c r="J82" s="42"/>
      <c r="K82" s="43"/>
      <c r="L82" s="43"/>
      <c r="M82" s="43"/>
      <c r="N82" s="57"/>
      <c r="O82" s="57"/>
      <c r="P82" s="57"/>
    </row>
    <row r="83" spans="2:16" ht="25.5">
      <c r="B83" s="15" t="s">
        <v>504</v>
      </c>
      <c r="C83" s="50" t="s">
        <v>66</v>
      </c>
      <c r="D83" s="50" t="s">
        <v>24</v>
      </c>
      <c r="E83" s="50" t="s">
        <v>930</v>
      </c>
      <c r="F83" s="50" t="s">
        <v>20</v>
      </c>
      <c r="G83" s="204">
        <f>1.3+1.7</f>
        <v>3</v>
      </c>
      <c r="H83" s="204">
        <v>2.9</v>
      </c>
      <c r="I83" s="212">
        <f t="shared" si="24"/>
        <v>0.96666666666666667</v>
      </c>
      <c r="J83" s="42"/>
      <c r="K83" s="43"/>
      <c r="L83" s="43"/>
      <c r="M83" s="43"/>
      <c r="N83" s="57"/>
      <c r="O83" s="57"/>
      <c r="P83" s="57"/>
    </row>
    <row r="84" spans="2:16">
      <c r="B84" s="15" t="s">
        <v>136</v>
      </c>
      <c r="C84" s="50" t="s">
        <v>66</v>
      </c>
      <c r="D84" s="50" t="s">
        <v>24</v>
      </c>
      <c r="E84" s="50" t="s">
        <v>150</v>
      </c>
      <c r="F84" s="50"/>
      <c r="G84" s="204">
        <f>G85</f>
        <v>50</v>
      </c>
      <c r="H84" s="204">
        <v>41.5</v>
      </c>
      <c r="I84" s="212">
        <f t="shared" si="24"/>
        <v>0.83</v>
      </c>
      <c r="J84" s="42"/>
      <c r="K84" s="43">
        <f t="shared" si="17"/>
        <v>0</v>
      </c>
      <c r="L84" s="43">
        <f t="shared" si="18"/>
        <v>0</v>
      </c>
      <c r="M84" s="43">
        <f t="shared" si="19"/>
        <v>0</v>
      </c>
      <c r="N84" s="57">
        <f t="shared" si="20"/>
        <v>0</v>
      </c>
      <c r="O84" s="57">
        <f t="shared" si="21"/>
        <v>0</v>
      </c>
      <c r="P84" s="57">
        <f t="shared" si="22"/>
        <v>0</v>
      </c>
    </row>
    <row r="85" spans="2:16">
      <c r="B85" s="15" t="s">
        <v>21</v>
      </c>
      <c r="C85" s="50" t="s">
        <v>66</v>
      </c>
      <c r="D85" s="50" t="s">
        <v>24</v>
      </c>
      <c r="E85" s="50" t="s">
        <v>150</v>
      </c>
      <c r="F85" s="50" t="s">
        <v>22</v>
      </c>
      <c r="G85" s="204">
        <v>50</v>
      </c>
      <c r="H85" s="204">
        <v>41.5</v>
      </c>
      <c r="I85" s="212">
        <f t="shared" si="24"/>
        <v>0.83</v>
      </c>
      <c r="J85" s="42">
        <v>1</v>
      </c>
      <c r="K85" s="43">
        <f t="shared" si="17"/>
        <v>50</v>
      </c>
      <c r="L85" s="43">
        <f t="shared" si="18"/>
        <v>41.5</v>
      </c>
      <c r="M85" s="43">
        <f t="shared" si="19"/>
        <v>0.83</v>
      </c>
      <c r="N85" s="57">
        <f t="shared" si="20"/>
        <v>0</v>
      </c>
      <c r="O85" s="57">
        <f t="shared" si="21"/>
        <v>0</v>
      </c>
      <c r="P85" s="57">
        <f t="shared" si="22"/>
        <v>0</v>
      </c>
    </row>
    <row r="86" spans="2:16">
      <c r="B86" s="15" t="s">
        <v>111</v>
      </c>
      <c r="C86" s="50" t="s">
        <v>66</v>
      </c>
      <c r="D86" s="50" t="s">
        <v>24</v>
      </c>
      <c r="E86" s="50" t="s">
        <v>922</v>
      </c>
      <c r="F86" s="50"/>
      <c r="G86" s="204">
        <f>G87</f>
        <v>1638.6</v>
      </c>
      <c r="H86" s="204">
        <v>1638.6</v>
      </c>
      <c r="I86" s="212">
        <f t="shared" si="24"/>
        <v>1</v>
      </c>
      <c r="J86" s="42"/>
      <c r="K86" s="43"/>
      <c r="L86" s="43"/>
      <c r="M86" s="43"/>
      <c r="N86" s="57"/>
      <c r="O86" s="57"/>
      <c r="P86" s="57"/>
    </row>
    <row r="87" spans="2:16" ht="25.5">
      <c r="B87" s="15" t="s">
        <v>30</v>
      </c>
      <c r="C87" s="50" t="s">
        <v>66</v>
      </c>
      <c r="D87" s="50" t="s">
        <v>24</v>
      </c>
      <c r="E87" s="50" t="s">
        <v>922</v>
      </c>
      <c r="F87" s="50" t="s">
        <v>31</v>
      </c>
      <c r="G87" s="204">
        <v>1638.6</v>
      </c>
      <c r="H87" s="204">
        <v>1638.6</v>
      </c>
      <c r="I87" s="212">
        <f t="shared" si="24"/>
        <v>1</v>
      </c>
      <c r="J87" s="42"/>
      <c r="K87" s="43"/>
      <c r="L87" s="43"/>
      <c r="M87" s="43"/>
      <c r="N87" s="57"/>
      <c r="O87" s="57"/>
      <c r="P87" s="57"/>
    </row>
    <row r="88" spans="2:16">
      <c r="B88" s="15" t="s">
        <v>111</v>
      </c>
      <c r="C88" s="50" t="s">
        <v>66</v>
      </c>
      <c r="D88" s="50" t="s">
        <v>24</v>
      </c>
      <c r="E88" s="50" t="s">
        <v>185</v>
      </c>
      <c r="F88" s="50"/>
      <c r="G88" s="204">
        <f>G89</f>
        <v>10281.5</v>
      </c>
      <c r="H88" s="204">
        <v>10281.4</v>
      </c>
      <c r="I88" s="212">
        <f t="shared" si="24"/>
        <v>0.99999027379273453</v>
      </c>
      <c r="J88" s="42"/>
      <c r="K88" s="43">
        <f t="shared" si="17"/>
        <v>0</v>
      </c>
      <c r="L88" s="43">
        <f t="shared" si="18"/>
        <v>0</v>
      </c>
      <c r="M88" s="43">
        <f t="shared" si="19"/>
        <v>0</v>
      </c>
      <c r="N88" s="57">
        <f t="shared" si="20"/>
        <v>0</v>
      </c>
      <c r="O88" s="57">
        <f t="shared" si="21"/>
        <v>0</v>
      </c>
      <c r="P88" s="57">
        <f t="shared" si="22"/>
        <v>0</v>
      </c>
    </row>
    <row r="89" spans="2:16" ht="25.5">
      <c r="B89" s="15" t="s">
        <v>30</v>
      </c>
      <c r="C89" s="50" t="s">
        <v>66</v>
      </c>
      <c r="D89" s="50" t="s">
        <v>24</v>
      </c>
      <c r="E89" s="50" t="s">
        <v>185</v>
      </c>
      <c r="F89" s="50" t="s">
        <v>31</v>
      </c>
      <c r="G89" s="204">
        <f>8033.5+500+200+600+200+327.5+320.5+100</f>
        <v>10281.5</v>
      </c>
      <c r="H89" s="204">
        <v>10281.4</v>
      </c>
      <c r="I89" s="212">
        <f t="shared" si="24"/>
        <v>0.99999027379273453</v>
      </c>
      <c r="J89" s="42">
        <v>1</v>
      </c>
      <c r="K89" s="43">
        <f t="shared" si="17"/>
        <v>10281.5</v>
      </c>
      <c r="L89" s="43">
        <f t="shared" si="18"/>
        <v>10281.4</v>
      </c>
      <c r="M89" s="43">
        <f t="shared" si="19"/>
        <v>0.99999027379273453</v>
      </c>
      <c r="N89" s="57">
        <f t="shared" si="20"/>
        <v>0</v>
      </c>
      <c r="O89" s="57">
        <f t="shared" si="21"/>
        <v>0</v>
      </c>
      <c r="P89" s="57">
        <f t="shared" si="22"/>
        <v>0</v>
      </c>
    </row>
    <row r="90" spans="2:16">
      <c r="B90" s="15" t="s">
        <v>385</v>
      </c>
      <c r="C90" s="50" t="s">
        <v>66</v>
      </c>
      <c r="D90" s="50" t="s">
        <v>24</v>
      </c>
      <c r="E90" s="50" t="s">
        <v>389</v>
      </c>
      <c r="F90" s="50"/>
      <c r="G90" s="204">
        <f>G91</f>
        <v>547</v>
      </c>
      <c r="H90" s="204">
        <v>510</v>
      </c>
      <c r="I90" s="212">
        <f>H90/G90</f>
        <v>0.93235831809872027</v>
      </c>
      <c r="J90" s="42"/>
      <c r="K90" s="43">
        <f t="shared" si="17"/>
        <v>0</v>
      </c>
      <c r="L90" s="43">
        <f t="shared" si="18"/>
        <v>0</v>
      </c>
      <c r="M90" s="43">
        <f t="shared" si="19"/>
        <v>0</v>
      </c>
      <c r="N90" s="57">
        <f t="shared" si="20"/>
        <v>0</v>
      </c>
      <c r="O90" s="57">
        <f t="shared" si="21"/>
        <v>0</v>
      </c>
      <c r="P90" s="57">
        <f t="shared" si="22"/>
        <v>0</v>
      </c>
    </row>
    <row r="91" spans="2:16">
      <c r="B91" s="15" t="s">
        <v>21</v>
      </c>
      <c r="C91" s="50" t="s">
        <v>66</v>
      </c>
      <c r="D91" s="50" t="s">
        <v>24</v>
      </c>
      <c r="E91" s="50" t="s">
        <v>389</v>
      </c>
      <c r="F91" s="50" t="s">
        <v>22</v>
      </c>
      <c r="G91" s="204">
        <f>100+30+417</f>
        <v>547</v>
      </c>
      <c r="H91" s="204">
        <v>510</v>
      </c>
      <c r="I91" s="212">
        <f t="shared" ref="I91:I154" si="25">H91/G91</f>
        <v>0.93235831809872027</v>
      </c>
      <c r="J91" s="42">
        <v>1</v>
      </c>
      <c r="K91" s="43">
        <f t="shared" si="17"/>
        <v>547</v>
      </c>
      <c r="L91" s="43">
        <f t="shared" si="18"/>
        <v>510</v>
      </c>
      <c r="M91" s="43">
        <f t="shared" si="19"/>
        <v>0.93235831809872027</v>
      </c>
      <c r="N91" s="57">
        <f t="shared" si="20"/>
        <v>0</v>
      </c>
      <c r="O91" s="57">
        <f t="shared" si="21"/>
        <v>0</v>
      </c>
      <c r="P91" s="57">
        <f t="shared" si="22"/>
        <v>0</v>
      </c>
    </row>
    <row r="92" spans="2:16" hidden="1">
      <c r="B92" s="15" t="s">
        <v>569</v>
      </c>
      <c r="C92" s="50" t="s">
        <v>66</v>
      </c>
      <c r="D92" s="50" t="s">
        <v>24</v>
      </c>
      <c r="E92" s="50" t="s">
        <v>568</v>
      </c>
      <c r="F92" s="50"/>
      <c r="G92" s="204">
        <f>G93</f>
        <v>0</v>
      </c>
      <c r="H92" s="204"/>
      <c r="I92" s="207" t="e">
        <f t="shared" si="25"/>
        <v>#DIV/0!</v>
      </c>
      <c r="J92" s="42"/>
      <c r="K92" s="43">
        <f t="shared" si="17"/>
        <v>0</v>
      </c>
      <c r="L92" s="43">
        <f t="shared" si="18"/>
        <v>0</v>
      </c>
      <c r="M92" s="43">
        <f t="shared" si="19"/>
        <v>0</v>
      </c>
      <c r="N92" s="57">
        <f t="shared" si="20"/>
        <v>0</v>
      </c>
      <c r="O92" s="57">
        <f t="shared" si="21"/>
        <v>0</v>
      </c>
      <c r="P92" s="57">
        <f t="shared" si="22"/>
        <v>0</v>
      </c>
    </row>
    <row r="93" spans="2:16" hidden="1">
      <c r="B93" s="15" t="s">
        <v>19</v>
      </c>
      <c r="C93" s="50" t="s">
        <v>66</v>
      </c>
      <c r="D93" s="50" t="s">
        <v>24</v>
      </c>
      <c r="E93" s="50" t="s">
        <v>568</v>
      </c>
      <c r="F93" s="50" t="s">
        <v>20</v>
      </c>
      <c r="G93" s="204">
        <v>0</v>
      </c>
      <c r="H93" s="204"/>
      <c r="I93" s="207" t="e">
        <f t="shared" si="25"/>
        <v>#DIV/0!</v>
      </c>
      <c r="J93" s="42">
        <v>1</v>
      </c>
      <c r="K93" s="43">
        <f t="shared" si="17"/>
        <v>0</v>
      </c>
      <c r="L93" s="43">
        <f t="shared" si="18"/>
        <v>0</v>
      </c>
      <c r="M93" s="43" t="e">
        <f t="shared" si="19"/>
        <v>#DIV/0!</v>
      </c>
      <c r="N93" s="57">
        <f t="shared" si="20"/>
        <v>0</v>
      </c>
      <c r="O93" s="57">
        <f t="shared" si="21"/>
        <v>0</v>
      </c>
      <c r="P93" s="57">
        <f t="shared" si="22"/>
        <v>0</v>
      </c>
    </row>
    <row r="94" spans="2:16" ht="25.5">
      <c r="B94" s="14" t="s">
        <v>96</v>
      </c>
      <c r="C94" s="11" t="s">
        <v>66</v>
      </c>
      <c r="D94" s="11" t="s">
        <v>36</v>
      </c>
      <c r="E94" s="11" t="s">
        <v>12</v>
      </c>
      <c r="F94" s="11" t="s">
        <v>12</v>
      </c>
      <c r="G94" s="203">
        <f>G95+G106+G117</f>
        <v>1984.8</v>
      </c>
      <c r="H94" s="203">
        <v>1211</v>
      </c>
      <c r="I94" s="207">
        <f t="shared" si="25"/>
        <v>0.61013704151551795</v>
      </c>
      <c r="J94" s="42"/>
      <c r="K94" s="43">
        <f t="shared" si="17"/>
        <v>0</v>
      </c>
      <c r="L94" s="43">
        <f t="shared" si="18"/>
        <v>0</v>
      </c>
      <c r="M94" s="43">
        <f t="shared" si="19"/>
        <v>0</v>
      </c>
      <c r="N94" s="57">
        <f t="shared" si="20"/>
        <v>0</v>
      </c>
      <c r="O94" s="57">
        <f t="shared" si="21"/>
        <v>0</v>
      </c>
      <c r="P94" s="57">
        <f t="shared" si="22"/>
        <v>0</v>
      </c>
    </row>
    <row r="95" spans="2:16">
      <c r="B95" s="14" t="s">
        <v>912</v>
      </c>
      <c r="C95" s="11" t="s">
        <v>66</v>
      </c>
      <c r="D95" s="11" t="s">
        <v>37</v>
      </c>
      <c r="E95" s="11"/>
      <c r="F95" s="11"/>
      <c r="G95" s="203">
        <f>G96+G103</f>
        <v>105</v>
      </c>
      <c r="H95" s="203">
        <v>49</v>
      </c>
      <c r="I95" s="207">
        <f t="shared" si="25"/>
        <v>0.46666666666666667</v>
      </c>
      <c r="J95" s="42"/>
      <c r="K95" s="43">
        <f t="shared" si="17"/>
        <v>0</v>
      </c>
      <c r="L95" s="43">
        <f t="shared" si="18"/>
        <v>0</v>
      </c>
      <c r="M95" s="43">
        <f t="shared" si="19"/>
        <v>0</v>
      </c>
      <c r="N95" s="57">
        <f t="shared" si="20"/>
        <v>0</v>
      </c>
      <c r="O95" s="57">
        <f t="shared" si="21"/>
        <v>0</v>
      </c>
      <c r="P95" s="57">
        <f t="shared" si="22"/>
        <v>0</v>
      </c>
    </row>
    <row r="96" spans="2:16" s="6" customFormat="1" ht="51">
      <c r="B96" s="96" t="s">
        <v>825</v>
      </c>
      <c r="C96" s="11" t="s">
        <v>66</v>
      </c>
      <c r="D96" s="11" t="s">
        <v>37</v>
      </c>
      <c r="E96" s="11" t="s">
        <v>152</v>
      </c>
      <c r="F96" s="11"/>
      <c r="G96" s="203">
        <f>G97</f>
        <v>35</v>
      </c>
      <c r="H96" s="203">
        <v>28.5</v>
      </c>
      <c r="I96" s="207">
        <f t="shared" si="25"/>
        <v>0.81428571428571428</v>
      </c>
      <c r="J96" s="13"/>
      <c r="K96" s="43">
        <f t="shared" si="17"/>
        <v>0</v>
      </c>
      <c r="L96" s="43">
        <f t="shared" si="18"/>
        <v>0</v>
      </c>
      <c r="M96" s="43">
        <f t="shared" si="19"/>
        <v>0</v>
      </c>
      <c r="N96" s="57">
        <f t="shared" si="20"/>
        <v>0</v>
      </c>
      <c r="O96" s="57">
        <f t="shared" si="21"/>
        <v>0</v>
      </c>
      <c r="P96" s="57">
        <f t="shared" si="22"/>
        <v>0</v>
      </c>
    </row>
    <row r="97" spans="2:16">
      <c r="B97" s="15" t="s">
        <v>19</v>
      </c>
      <c r="C97" s="50" t="s">
        <v>66</v>
      </c>
      <c r="D97" s="50" t="s">
        <v>37</v>
      </c>
      <c r="E97" s="50" t="s">
        <v>153</v>
      </c>
      <c r="F97" s="50" t="s">
        <v>20</v>
      </c>
      <c r="G97" s="204">
        <f>SUM(G98:G102)</f>
        <v>35</v>
      </c>
      <c r="H97" s="204">
        <v>28.5</v>
      </c>
      <c r="I97" s="212">
        <f t="shared" si="25"/>
        <v>0.81428571428571428</v>
      </c>
      <c r="J97" s="42"/>
      <c r="K97" s="43">
        <f t="shared" si="17"/>
        <v>0</v>
      </c>
      <c r="L97" s="43">
        <f t="shared" si="18"/>
        <v>0</v>
      </c>
      <c r="M97" s="43">
        <f t="shared" si="19"/>
        <v>0</v>
      </c>
      <c r="N97" s="57">
        <f t="shared" si="20"/>
        <v>0</v>
      </c>
      <c r="O97" s="57">
        <f t="shared" si="21"/>
        <v>0</v>
      </c>
      <c r="P97" s="57">
        <f t="shared" si="22"/>
        <v>0</v>
      </c>
    </row>
    <row r="98" spans="2:16" hidden="1">
      <c r="B98" s="22" t="s">
        <v>235</v>
      </c>
      <c r="C98" s="50" t="s">
        <v>66</v>
      </c>
      <c r="D98" s="50" t="s">
        <v>37</v>
      </c>
      <c r="E98" s="50" t="s">
        <v>266</v>
      </c>
      <c r="F98" s="50" t="s">
        <v>20</v>
      </c>
      <c r="G98" s="204">
        <v>0</v>
      </c>
      <c r="H98" s="204">
        <v>0</v>
      </c>
      <c r="I98" s="212" t="e">
        <f t="shared" si="25"/>
        <v>#DIV/0!</v>
      </c>
      <c r="J98" s="42">
        <v>1</v>
      </c>
      <c r="K98" s="43">
        <f t="shared" si="17"/>
        <v>0</v>
      </c>
      <c r="L98" s="43">
        <f t="shared" si="18"/>
        <v>0</v>
      </c>
      <c r="M98" s="43" t="e">
        <f t="shared" si="19"/>
        <v>#DIV/0!</v>
      </c>
      <c r="N98" s="57">
        <f t="shared" si="20"/>
        <v>0</v>
      </c>
      <c r="O98" s="57">
        <f t="shared" si="21"/>
        <v>0</v>
      </c>
      <c r="P98" s="57">
        <f t="shared" si="22"/>
        <v>0</v>
      </c>
    </row>
    <row r="99" spans="2:16">
      <c r="B99" s="22" t="s">
        <v>697</v>
      </c>
      <c r="C99" s="50" t="s">
        <v>66</v>
      </c>
      <c r="D99" s="50" t="s">
        <v>37</v>
      </c>
      <c r="E99" s="50" t="s">
        <v>646</v>
      </c>
      <c r="F99" s="50" t="s">
        <v>20</v>
      </c>
      <c r="G99" s="204">
        <v>10</v>
      </c>
      <c r="H99" s="204">
        <v>8.4</v>
      </c>
      <c r="I99" s="212">
        <f t="shared" si="25"/>
        <v>0.84000000000000008</v>
      </c>
      <c r="J99" s="42">
        <v>1</v>
      </c>
      <c r="K99" s="43">
        <f t="shared" si="17"/>
        <v>10</v>
      </c>
      <c r="L99" s="43">
        <f t="shared" si="18"/>
        <v>8.4</v>
      </c>
      <c r="M99" s="43">
        <f t="shared" si="19"/>
        <v>0.84000000000000008</v>
      </c>
      <c r="N99" s="57">
        <f t="shared" si="20"/>
        <v>0</v>
      </c>
      <c r="O99" s="57">
        <f t="shared" si="21"/>
        <v>0</v>
      </c>
      <c r="P99" s="57">
        <f t="shared" si="22"/>
        <v>0</v>
      </c>
    </row>
    <row r="100" spans="2:16">
      <c r="B100" s="22" t="s">
        <v>236</v>
      </c>
      <c r="C100" s="50" t="s">
        <v>66</v>
      </c>
      <c r="D100" s="50" t="s">
        <v>37</v>
      </c>
      <c r="E100" s="50" t="s">
        <v>267</v>
      </c>
      <c r="F100" s="50" t="s">
        <v>20</v>
      </c>
      <c r="G100" s="204">
        <v>20</v>
      </c>
      <c r="H100" s="204">
        <v>15.1</v>
      </c>
      <c r="I100" s="212">
        <f t="shared" si="25"/>
        <v>0.755</v>
      </c>
      <c r="J100" s="42">
        <v>1</v>
      </c>
      <c r="K100" s="43">
        <f t="shared" si="17"/>
        <v>20</v>
      </c>
      <c r="L100" s="43">
        <f t="shared" si="18"/>
        <v>15.1</v>
      </c>
      <c r="M100" s="43">
        <f t="shared" si="19"/>
        <v>0.755</v>
      </c>
      <c r="N100" s="57">
        <f t="shared" si="20"/>
        <v>0</v>
      </c>
      <c r="O100" s="57">
        <f t="shared" si="21"/>
        <v>0</v>
      </c>
      <c r="P100" s="57">
        <f t="shared" si="22"/>
        <v>0</v>
      </c>
    </row>
    <row r="101" spans="2:16">
      <c r="B101" s="22" t="s">
        <v>237</v>
      </c>
      <c r="C101" s="50" t="s">
        <v>66</v>
      </c>
      <c r="D101" s="50" t="s">
        <v>37</v>
      </c>
      <c r="E101" s="50" t="s">
        <v>268</v>
      </c>
      <c r="F101" s="50" t="s">
        <v>20</v>
      </c>
      <c r="G101" s="204">
        <f>10-5</f>
        <v>5</v>
      </c>
      <c r="H101" s="204">
        <v>5</v>
      </c>
      <c r="I101" s="212">
        <f t="shared" si="25"/>
        <v>1</v>
      </c>
      <c r="J101" s="42">
        <v>1</v>
      </c>
      <c r="K101" s="43">
        <f t="shared" si="17"/>
        <v>5</v>
      </c>
      <c r="L101" s="43">
        <f t="shared" si="18"/>
        <v>5</v>
      </c>
      <c r="M101" s="43">
        <f t="shared" si="19"/>
        <v>1</v>
      </c>
      <c r="N101" s="57">
        <f t="shared" si="20"/>
        <v>0</v>
      </c>
      <c r="O101" s="57">
        <f t="shared" si="21"/>
        <v>0</v>
      </c>
      <c r="P101" s="57">
        <f t="shared" si="22"/>
        <v>0</v>
      </c>
    </row>
    <row r="102" spans="2:16" hidden="1">
      <c r="B102" s="22" t="s">
        <v>698</v>
      </c>
      <c r="C102" s="50" t="s">
        <v>66</v>
      </c>
      <c r="D102" s="50" t="s">
        <v>37</v>
      </c>
      <c r="E102" s="50" t="s">
        <v>699</v>
      </c>
      <c r="F102" s="50" t="s">
        <v>20</v>
      </c>
      <c r="G102" s="204">
        <v>0</v>
      </c>
      <c r="H102" s="204">
        <v>0</v>
      </c>
      <c r="I102" s="212" t="e">
        <f t="shared" si="25"/>
        <v>#DIV/0!</v>
      </c>
      <c r="J102" s="42">
        <v>1</v>
      </c>
      <c r="K102" s="43">
        <f t="shared" si="17"/>
        <v>0</v>
      </c>
      <c r="L102" s="43">
        <f t="shared" si="18"/>
        <v>0</v>
      </c>
      <c r="M102" s="43" t="e">
        <f t="shared" si="19"/>
        <v>#DIV/0!</v>
      </c>
      <c r="N102" s="57">
        <f t="shared" si="20"/>
        <v>0</v>
      </c>
      <c r="O102" s="57">
        <f t="shared" si="21"/>
        <v>0</v>
      </c>
      <c r="P102" s="57">
        <f t="shared" si="22"/>
        <v>0</v>
      </c>
    </row>
    <row r="103" spans="2:16">
      <c r="B103" s="15" t="s">
        <v>76</v>
      </c>
      <c r="C103" s="50" t="s">
        <v>66</v>
      </c>
      <c r="D103" s="50" t="s">
        <v>37</v>
      </c>
      <c r="E103" s="50" t="s">
        <v>139</v>
      </c>
      <c r="F103" s="50"/>
      <c r="G103" s="204">
        <f t="shared" ref="G103:G104" si="26">G104</f>
        <v>70</v>
      </c>
      <c r="H103" s="204">
        <v>20.5</v>
      </c>
      <c r="I103" s="212">
        <f t="shared" si="25"/>
        <v>0.29285714285714287</v>
      </c>
      <c r="J103" s="42"/>
      <c r="K103" s="43">
        <f t="shared" si="17"/>
        <v>0</v>
      </c>
      <c r="L103" s="43">
        <f t="shared" si="18"/>
        <v>0</v>
      </c>
      <c r="M103" s="43">
        <f t="shared" si="19"/>
        <v>0</v>
      </c>
      <c r="N103" s="57">
        <f t="shared" si="20"/>
        <v>0</v>
      </c>
      <c r="O103" s="57">
        <f t="shared" si="21"/>
        <v>0</v>
      </c>
      <c r="P103" s="57">
        <f t="shared" si="22"/>
        <v>0</v>
      </c>
    </row>
    <row r="104" spans="2:16" ht="25.5">
      <c r="B104" s="15" t="s">
        <v>113</v>
      </c>
      <c r="C104" s="50" t="s">
        <v>66</v>
      </c>
      <c r="D104" s="50" t="s">
        <v>37</v>
      </c>
      <c r="E104" s="50" t="s">
        <v>154</v>
      </c>
      <c r="F104" s="50"/>
      <c r="G104" s="204">
        <f t="shared" si="26"/>
        <v>70</v>
      </c>
      <c r="H104" s="204">
        <v>20.5</v>
      </c>
      <c r="I104" s="212">
        <f t="shared" si="25"/>
        <v>0.29285714285714287</v>
      </c>
      <c r="J104" s="42"/>
      <c r="K104" s="43">
        <f t="shared" si="17"/>
        <v>0</v>
      </c>
      <c r="L104" s="43">
        <f t="shared" si="18"/>
        <v>0</v>
      </c>
      <c r="M104" s="43">
        <f t="shared" si="19"/>
        <v>0</v>
      </c>
      <c r="N104" s="57">
        <f t="shared" si="20"/>
        <v>0</v>
      </c>
      <c r="O104" s="57">
        <f t="shared" si="21"/>
        <v>0</v>
      </c>
      <c r="P104" s="57">
        <f t="shared" si="22"/>
        <v>0</v>
      </c>
    </row>
    <row r="105" spans="2:16">
      <c r="B105" s="15" t="s">
        <v>19</v>
      </c>
      <c r="C105" s="50" t="s">
        <v>66</v>
      </c>
      <c r="D105" s="50" t="s">
        <v>37</v>
      </c>
      <c r="E105" s="50" t="s">
        <v>154</v>
      </c>
      <c r="F105" s="50" t="s">
        <v>20</v>
      </c>
      <c r="G105" s="204">
        <f>50+20</f>
        <v>70</v>
      </c>
      <c r="H105" s="204">
        <v>20.5</v>
      </c>
      <c r="I105" s="212">
        <f t="shared" si="25"/>
        <v>0.29285714285714287</v>
      </c>
      <c r="J105" s="42">
        <v>1</v>
      </c>
      <c r="K105" s="43">
        <f t="shared" si="17"/>
        <v>70</v>
      </c>
      <c r="L105" s="43">
        <f t="shared" si="18"/>
        <v>20.5</v>
      </c>
      <c r="M105" s="43">
        <f t="shared" si="19"/>
        <v>0.29285714285714287</v>
      </c>
      <c r="N105" s="57">
        <f t="shared" si="20"/>
        <v>0</v>
      </c>
      <c r="O105" s="57">
        <f t="shared" si="21"/>
        <v>0</v>
      </c>
      <c r="P105" s="57">
        <f t="shared" si="22"/>
        <v>0</v>
      </c>
    </row>
    <row r="106" spans="2:16" s="6" customFormat="1" ht="25.5">
      <c r="B106" s="14" t="s">
        <v>913</v>
      </c>
      <c r="C106" s="11" t="s">
        <v>66</v>
      </c>
      <c r="D106" s="11" t="s">
        <v>38</v>
      </c>
      <c r="E106" s="11"/>
      <c r="F106" s="11"/>
      <c r="G106" s="203">
        <f>G107+G115</f>
        <v>165.3</v>
      </c>
      <c r="H106" s="203">
        <v>148</v>
      </c>
      <c r="I106" s="207">
        <f t="shared" si="25"/>
        <v>0.89534180278281905</v>
      </c>
      <c r="J106" s="13"/>
      <c r="K106" s="43">
        <f t="shared" ref="K106:K176" si="27">SUMIF(J106,1,G106)</f>
        <v>0</v>
      </c>
      <c r="L106" s="43">
        <f t="shared" ref="L106:L176" si="28">SUMIF(J106,1,H106)</f>
        <v>0</v>
      </c>
      <c r="M106" s="43">
        <f t="shared" ref="M106:M176" si="29">SUMIF(J106,1,I106)</f>
        <v>0</v>
      </c>
      <c r="N106" s="57">
        <f t="shared" ref="N106:N176" si="30">SUMIF(J106,2,G106)</f>
        <v>0</v>
      </c>
      <c r="O106" s="57">
        <f t="shared" ref="O106:O176" si="31">SUMIF(J106,2,H106)</f>
        <v>0</v>
      </c>
      <c r="P106" s="57">
        <f t="shared" ref="P106:P176" si="32">SUMIF(J106,2,I106)</f>
        <v>0</v>
      </c>
    </row>
    <row r="107" spans="2:16" s="6" customFormat="1" ht="25.5">
      <c r="B107" s="74" t="s">
        <v>818</v>
      </c>
      <c r="C107" s="11" t="s">
        <v>66</v>
      </c>
      <c r="D107" s="11" t="s">
        <v>38</v>
      </c>
      <c r="E107" s="11" t="s">
        <v>155</v>
      </c>
      <c r="F107" s="11"/>
      <c r="G107" s="203">
        <f t="shared" ref="G107" si="33">G108</f>
        <v>165.3</v>
      </c>
      <c r="H107" s="203">
        <v>148</v>
      </c>
      <c r="I107" s="207">
        <f t="shared" si="25"/>
        <v>0.89534180278281905</v>
      </c>
      <c r="J107" s="13"/>
      <c r="K107" s="43">
        <f t="shared" si="27"/>
        <v>0</v>
      </c>
      <c r="L107" s="43">
        <f t="shared" si="28"/>
        <v>0</v>
      </c>
      <c r="M107" s="43">
        <f t="shared" si="29"/>
        <v>0</v>
      </c>
      <c r="N107" s="57">
        <f t="shared" si="30"/>
        <v>0</v>
      </c>
      <c r="O107" s="57">
        <f t="shared" si="31"/>
        <v>0</v>
      </c>
      <c r="P107" s="57">
        <f t="shared" si="32"/>
        <v>0</v>
      </c>
    </row>
    <row r="108" spans="2:16">
      <c r="B108" s="15" t="s">
        <v>19</v>
      </c>
      <c r="C108" s="50" t="s">
        <v>66</v>
      </c>
      <c r="D108" s="50" t="s">
        <v>38</v>
      </c>
      <c r="E108" s="50" t="s">
        <v>156</v>
      </c>
      <c r="F108" s="50" t="s">
        <v>20</v>
      </c>
      <c r="G108" s="204">
        <f>G109+G110+G111+G112+G113+G114</f>
        <v>165.3</v>
      </c>
      <c r="H108" s="204">
        <v>148</v>
      </c>
      <c r="I108" s="212">
        <f t="shared" si="25"/>
        <v>0.89534180278281905</v>
      </c>
      <c r="J108" s="42"/>
      <c r="K108" s="43">
        <f t="shared" si="27"/>
        <v>0</v>
      </c>
      <c r="L108" s="43">
        <f t="shared" si="28"/>
        <v>0</v>
      </c>
      <c r="M108" s="43">
        <f t="shared" si="29"/>
        <v>0</v>
      </c>
      <c r="N108" s="57">
        <f t="shared" si="30"/>
        <v>0</v>
      </c>
      <c r="O108" s="57">
        <f t="shared" si="31"/>
        <v>0</v>
      </c>
      <c r="P108" s="57">
        <f t="shared" si="32"/>
        <v>0</v>
      </c>
    </row>
    <row r="109" spans="2:16">
      <c r="B109" s="15" t="s">
        <v>459</v>
      </c>
      <c r="C109" s="50" t="s">
        <v>66</v>
      </c>
      <c r="D109" s="50" t="s">
        <v>38</v>
      </c>
      <c r="E109" s="50" t="s">
        <v>269</v>
      </c>
      <c r="F109" s="50" t="s">
        <v>20</v>
      </c>
      <c r="G109" s="204">
        <v>22.3</v>
      </c>
      <c r="H109" s="204">
        <v>11</v>
      </c>
      <c r="I109" s="212">
        <f t="shared" si="25"/>
        <v>0.49327354260089684</v>
      </c>
      <c r="J109" s="42">
        <v>1</v>
      </c>
      <c r="K109" s="43">
        <f t="shared" si="27"/>
        <v>22.3</v>
      </c>
      <c r="L109" s="43">
        <f t="shared" si="28"/>
        <v>11</v>
      </c>
      <c r="M109" s="43">
        <f t="shared" si="29"/>
        <v>0.49327354260089684</v>
      </c>
      <c r="N109" s="57">
        <f t="shared" si="30"/>
        <v>0</v>
      </c>
      <c r="O109" s="57">
        <f t="shared" si="31"/>
        <v>0</v>
      </c>
      <c r="P109" s="57">
        <f t="shared" si="32"/>
        <v>0</v>
      </c>
    </row>
    <row r="110" spans="2:16">
      <c r="B110" s="15" t="s">
        <v>460</v>
      </c>
      <c r="C110" s="50" t="s">
        <v>66</v>
      </c>
      <c r="D110" s="50" t="s">
        <v>38</v>
      </c>
      <c r="E110" s="50" t="s">
        <v>270</v>
      </c>
      <c r="F110" s="50" t="s">
        <v>20</v>
      </c>
      <c r="G110" s="204">
        <v>110</v>
      </c>
      <c r="H110" s="204">
        <v>110</v>
      </c>
      <c r="I110" s="212">
        <f t="shared" si="25"/>
        <v>1</v>
      </c>
      <c r="J110" s="42">
        <v>1</v>
      </c>
      <c r="K110" s="43">
        <f t="shared" si="27"/>
        <v>110</v>
      </c>
      <c r="L110" s="43">
        <f t="shared" si="28"/>
        <v>110</v>
      </c>
      <c r="M110" s="43">
        <f t="shared" si="29"/>
        <v>1</v>
      </c>
      <c r="N110" s="57">
        <f t="shared" si="30"/>
        <v>0</v>
      </c>
      <c r="O110" s="57">
        <f t="shared" si="31"/>
        <v>0</v>
      </c>
      <c r="P110" s="57">
        <f t="shared" si="32"/>
        <v>0</v>
      </c>
    </row>
    <row r="111" spans="2:16" hidden="1">
      <c r="B111" s="15" t="s">
        <v>461</v>
      </c>
      <c r="C111" s="50" t="s">
        <v>66</v>
      </c>
      <c r="D111" s="50" t="s">
        <v>38</v>
      </c>
      <c r="E111" s="50" t="s">
        <v>465</v>
      </c>
      <c r="F111" s="50" t="s">
        <v>20</v>
      </c>
      <c r="G111" s="204">
        <v>0</v>
      </c>
      <c r="H111" s="204">
        <v>0</v>
      </c>
      <c r="I111" s="212">
        <v>0</v>
      </c>
      <c r="J111" s="42">
        <v>1</v>
      </c>
      <c r="K111" s="43">
        <f t="shared" si="27"/>
        <v>0</v>
      </c>
      <c r="L111" s="43">
        <f t="shared" si="28"/>
        <v>0</v>
      </c>
      <c r="M111" s="43">
        <f t="shared" si="29"/>
        <v>0</v>
      </c>
      <c r="N111" s="57">
        <f t="shared" si="30"/>
        <v>0</v>
      </c>
      <c r="O111" s="57">
        <f t="shared" si="31"/>
        <v>0</v>
      </c>
      <c r="P111" s="57">
        <f t="shared" si="32"/>
        <v>0</v>
      </c>
    </row>
    <row r="112" spans="2:16" hidden="1">
      <c r="B112" s="15" t="s">
        <v>462</v>
      </c>
      <c r="C112" s="50" t="s">
        <v>66</v>
      </c>
      <c r="D112" s="50" t="s">
        <v>38</v>
      </c>
      <c r="E112" s="50" t="s">
        <v>466</v>
      </c>
      <c r="F112" s="50" t="s">
        <v>20</v>
      </c>
      <c r="G112" s="204">
        <v>0</v>
      </c>
      <c r="H112" s="204">
        <v>0</v>
      </c>
      <c r="I112" s="212">
        <v>0</v>
      </c>
      <c r="J112" s="42">
        <v>1</v>
      </c>
      <c r="K112" s="43">
        <f t="shared" si="27"/>
        <v>0</v>
      </c>
      <c r="L112" s="43">
        <f t="shared" si="28"/>
        <v>0</v>
      </c>
      <c r="M112" s="43">
        <f t="shared" si="29"/>
        <v>0</v>
      </c>
      <c r="N112" s="57">
        <f t="shared" si="30"/>
        <v>0</v>
      </c>
      <c r="O112" s="57">
        <f t="shared" si="31"/>
        <v>0</v>
      </c>
      <c r="P112" s="57">
        <f t="shared" si="32"/>
        <v>0</v>
      </c>
    </row>
    <row r="113" spans="2:16">
      <c r="B113" s="15" t="s">
        <v>463</v>
      </c>
      <c r="C113" s="50" t="s">
        <v>66</v>
      </c>
      <c r="D113" s="50" t="s">
        <v>38</v>
      </c>
      <c r="E113" s="50" t="s">
        <v>467</v>
      </c>
      <c r="F113" s="50" t="s">
        <v>20</v>
      </c>
      <c r="G113" s="204">
        <v>33</v>
      </c>
      <c r="H113" s="204">
        <v>27</v>
      </c>
      <c r="I113" s="212">
        <f t="shared" si="25"/>
        <v>0.81818181818181823</v>
      </c>
      <c r="J113" s="42">
        <v>1</v>
      </c>
      <c r="K113" s="43">
        <f t="shared" si="27"/>
        <v>33</v>
      </c>
      <c r="L113" s="43">
        <f t="shared" si="28"/>
        <v>27</v>
      </c>
      <c r="M113" s="43">
        <f t="shared" si="29"/>
        <v>0.81818181818181823</v>
      </c>
      <c r="N113" s="57">
        <f t="shared" si="30"/>
        <v>0</v>
      </c>
      <c r="O113" s="57">
        <f t="shared" si="31"/>
        <v>0</v>
      </c>
      <c r="P113" s="57">
        <f t="shared" si="32"/>
        <v>0</v>
      </c>
    </row>
    <row r="114" spans="2:16" hidden="1">
      <c r="B114" s="15" t="s">
        <v>464</v>
      </c>
      <c r="C114" s="50" t="s">
        <v>66</v>
      </c>
      <c r="D114" s="50" t="s">
        <v>38</v>
      </c>
      <c r="E114" s="50" t="s">
        <v>468</v>
      </c>
      <c r="F114" s="50" t="s">
        <v>20</v>
      </c>
      <c r="G114" s="204">
        <v>0</v>
      </c>
      <c r="H114" s="204"/>
      <c r="I114" s="207" t="e">
        <f t="shared" si="25"/>
        <v>#DIV/0!</v>
      </c>
      <c r="J114" s="42">
        <v>1</v>
      </c>
      <c r="K114" s="43">
        <f t="shared" si="27"/>
        <v>0</v>
      </c>
      <c r="L114" s="43">
        <f t="shared" si="28"/>
        <v>0</v>
      </c>
      <c r="M114" s="43" t="e">
        <f t="shared" si="29"/>
        <v>#DIV/0!</v>
      </c>
      <c r="N114" s="57">
        <f t="shared" si="30"/>
        <v>0</v>
      </c>
      <c r="O114" s="57">
        <f t="shared" si="31"/>
        <v>0</v>
      </c>
      <c r="P114" s="57">
        <f t="shared" si="32"/>
        <v>0</v>
      </c>
    </row>
    <row r="115" spans="2:16" hidden="1">
      <c r="B115" s="15" t="s">
        <v>72</v>
      </c>
      <c r="C115" s="50" t="s">
        <v>66</v>
      </c>
      <c r="D115" s="50" t="s">
        <v>38</v>
      </c>
      <c r="E115" s="50" t="s">
        <v>211</v>
      </c>
      <c r="F115" s="50"/>
      <c r="G115" s="204">
        <f>G116</f>
        <v>0</v>
      </c>
      <c r="H115" s="204"/>
      <c r="I115" s="207" t="e">
        <f t="shared" si="25"/>
        <v>#DIV/0!</v>
      </c>
      <c r="J115" s="42"/>
      <c r="K115" s="43">
        <f t="shared" si="27"/>
        <v>0</v>
      </c>
      <c r="L115" s="43">
        <f t="shared" si="28"/>
        <v>0</v>
      </c>
      <c r="M115" s="43">
        <f t="shared" si="29"/>
        <v>0</v>
      </c>
      <c r="N115" s="57">
        <f t="shared" si="30"/>
        <v>0</v>
      </c>
      <c r="O115" s="57">
        <f t="shared" si="31"/>
        <v>0</v>
      </c>
      <c r="P115" s="57">
        <f t="shared" si="32"/>
        <v>0</v>
      </c>
    </row>
    <row r="116" spans="2:16" hidden="1">
      <c r="B116" s="15" t="s">
        <v>19</v>
      </c>
      <c r="C116" s="50" t="s">
        <v>66</v>
      </c>
      <c r="D116" s="50" t="s">
        <v>38</v>
      </c>
      <c r="E116" s="50" t="s">
        <v>211</v>
      </c>
      <c r="F116" s="50" t="s">
        <v>20</v>
      </c>
      <c r="G116" s="204">
        <v>0</v>
      </c>
      <c r="H116" s="204"/>
      <c r="I116" s="207" t="e">
        <f t="shared" si="25"/>
        <v>#DIV/0!</v>
      </c>
      <c r="J116" s="42">
        <v>1</v>
      </c>
      <c r="K116" s="43">
        <f t="shared" si="27"/>
        <v>0</v>
      </c>
      <c r="L116" s="43">
        <f t="shared" si="28"/>
        <v>0</v>
      </c>
      <c r="M116" s="43" t="e">
        <f t="shared" si="29"/>
        <v>#DIV/0!</v>
      </c>
      <c r="N116" s="57">
        <f t="shared" si="30"/>
        <v>0</v>
      </c>
      <c r="O116" s="57">
        <f t="shared" si="31"/>
        <v>0</v>
      </c>
      <c r="P116" s="57">
        <f t="shared" si="32"/>
        <v>0</v>
      </c>
    </row>
    <row r="117" spans="2:16" ht="25.5">
      <c r="B117" s="14" t="s">
        <v>80</v>
      </c>
      <c r="C117" s="11" t="s">
        <v>66</v>
      </c>
      <c r="D117" s="11" t="s">
        <v>54</v>
      </c>
      <c r="E117" s="11"/>
      <c r="F117" s="11"/>
      <c r="G117" s="203">
        <f>G121+G126+G118+G129</f>
        <v>1714.5</v>
      </c>
      <c r="H117" s="203">
        <v>1014</v>
      </c>
      <c r="I117" s="207">
        <f t="shared" si="25"/>
        <v>0.59142607174103234</v>
      </c>
      <c r="J117" s="42"/>
      <c r="K117" s="43">
        <f t="shared" si="27"/>
        <v>0</v>
      </c>
      <c r="L117" s="43">
        <f t="shared" si="28"/>
        <v>0</v>
      </c>
      <c r="M117" s="43">
        <f t="shared" si="29"/>
        <v>0</v>
      </c>
      <c r="N117" s="57">
        <f t="shared" si="30"/>
        <v>0</v>
      </c>
      <c r="O117" s="57">
        <f t="shared" si="31"/>
        <v>0</v>
      </c>
      <c r="P117" s="57">
        <f t="shared" si="32"/>
        <v>0</v>
      </c>
    </row>
    <row r="118" spans="2:16" s="6" customFormat="1" ht="25.5">
      <c r="B118" s="74" t="s">
        <v>817</v>
      </c>
      <c r="C118" s="11" t="s">
        <v>66</v>
      </c>
      <c r="D118" s="11" t="s">
        <v>54</v>
      </c>
      <c r="E118" s="11" t="s">
        <v>197</v>
      </c>
      <c r="F118" s="11"/>
      <c r="G118" s="203">
        <f t="shared" ref="G118:G119" si="34">G119</f>
        <v>4</v>
      </c>
      <c r="H118" s="203">
        <v>4</v>
      </c>
      <c r="I118" s="207">
        <f t="shared" si="25"/>
        <v>1</v>
      </c>
      <c r="J118" s="13"/>
      <c r="K118" s="43">
        <f t="shared" si="27"/>
        <v>0</v>
      </c>
      <c r="L118" s="43">
        <f t="shared" si="28"/>
        <v>0</v>
      </c>
      <c r="M118" s="43">
        <f t="shared" si="29"/>
        <v>0</v>
      </c>
      <c r="N118" s="57">
        <f t="shared" si="30"/>
        <v>0</v>
      </c>
      <c r="O118" s="57">
        <f t="shared" si="31"/>
        <v>0</v>
      </c>
      <c r="P118" s="57">
        <f t="shared" si="32"/>
        <v>0</v>
      </c>
    </row>
    <row r="119" spans="2:16">
      <c r="B119" s="15" t="s">
        <v>19</v>
      </c>
      <c r="C119" s="50" t="s">
        <v>66</v>
      </c>
      <c r="D119" s="50" t="s">
        <v>54</v>
      </c>
      <c r="E119" s="50" t="s">
        <v>197</v>
      </c>
      <c r="F119" s="50"/>
      <c r="G119" s="204">
        <f t="shared" si="34"/>
        <v>4</v>
      </c>
      <c r="H119" s="204">
        <v>0</v>
      </c>
      <c r="I119" s="212">
        <f t="shared" si="25"/>
        <v>0</v>
      </c>
      <c r="J119" s="42"/>
      <c r="K119" s="43">
        <f t="shared" si="27"/>
        <v>0</v>
      </c>
      <c r="L119" s="43">
        <f t="shared" si="28"/>
        <v>0</v>
      </c>
      <c r="M119" s="43">
        <f t="shared" si="29"/>
        <v>0</v>
      </c>
      <c r="N119" s="57">
        <f t="shared" si="30"/>
        <v>0</v>
      </c>
      <c r="O119" s="57">
        <f t="shared" si="31"/>
        <v>0</v>
      </c>
      <c r="P119" s="57">
        <f t="shared" si="32"/>
        <v>0</v>
      </c>
    </row>
    <row r="120" spans="2:16">
      <c r="B120" s="15" t="s">
        <v>243</v>
      </c>
      <c r="C120" s="50" t="s">
        <v>66</v>
      </c>
      <c r="D120" s="50" t="s">
        <v>54</v>
      </c>
      <c r="E120" s="50" t="s">
        <v>234</v>
      </c>
      <c r="F120" s="50" t="s">
        <v>20</v>
      </c>
      <c r="G120" s="204">
        <f>8-4</f>
        <v>4</v>
      </c>
      <c r="H120" s="117">
        <v>4</v>
      </c>
      <c r="I120" s="212">
        <f t="shared" si="25"/>
        <v>1</v>
      </c>
      <c r="J120" s="42">
        <v>1</v>
      </c>
      <c r="K120" s="43">
        <f t="shared" si="27"/>
        <v>4</v>
      </c>
      <c r="L120" s="43">
        <f t="shared" si="28"/>
        <v>4</v>
      </c>
      <c r="M120" s="43">
        <f t="shared" si="29"/>
        <v>1</v>
      </c>
      <c r="N120" s="57">
        <f t="shared" si="30"/>
        <v>0</v>
      </c>
      <c r="O120" s="57">
        <f t="shared" si="31"/>
        <v>0</v>
      </c>
      <c r="P120" s="57">
        <f t="shared" si="32"/>
        <v>0</v>
      </c>
    </row>
    <row r="121" spans="2:16" s="6" customFormat="1" ht="25.5">
      <c r="B121" s="74" t="s">
        <v>819</v>
      </c>
      <c r="C121" s="11" t="s">
        <v>66</v>
      </c>
      <c r="D121" s="11" t="s">
        <v>54</v>
      </c>
      <c r="E121" s="11" t="s">
        <v>157</v>
      </c>
      <c r="F121" s="11"/>
      <c r="G121" s="203">
        <f>G122</f>
        <v>6</v>
      </c>
      <c r="H121" s="203">
        <v>4</v>
      </c>
      <c r="I121" s="207">
        <f t="shared" si="25"/>
        <v>0.66666666666666663</v>
      </c>
      <c r="J121" s="13"/>
      <c r="K121" s="43">
        <f t="shared" si="27"/>
        <v>0</v>
      </c>
      <c r="L121" s="43">
        <f t="shared" si="28"/>
        <v>0</v>
      </c>
      <c r="M121" s="43">
        <f t="shared" si="29"/>
        <v>0</v>
      </c>
      <c r="N121" s="57">
        <f t="shared" si="30"/>
        <v>0</v>
      </c>
      <c r="O121" s="57">
        <f t="shared" si="31"/>
        <v>0</v>
      </c>
      <c r="P121" s="57">
        <f t="shared" si="32"/>
        <v>0</v>
      </c>
    </row>
    <row r="122" spans="2:16">
      <c r="B122" s="15" t="s">
        <v>19</v>
      </c>
      <c r="C122" s="50" t="s">
        <v>66</v>
      </c>
      <c r="D122" s="50" t="s">
        <v>54</v>
      </c>
      <c r="E122" s="50" t="s">
        <v>158</v>
      </c>
      <c r="F122" s="50" t="s">
        <v>20</v>
      </c>
      <c r="G122" s="204">
        <f>G123+G124+G125</f>
        <v>6</v>
      </c>
      <c r="H122" s="204">
        <v>0</v>
      </c>
      <c r="I122" s="212">
        <f t="shared" si="25"/>
        <v>0</v>
      </c>
      <c r="J122" s="42"/>
      <c r="K122" s="43">
        <f t="shared" si="27"/>
        <v>0</v>
      </c>
      <c r="L122" s="43">
        <f t="shared" si="28"/>
        <v>0</v>
      </c>
      <c r="M122" s="43">
        <f t="shared" si="29"/>
        <v>0</v>
      </c>
      <c r="N122" s="57">
        <f t="shared" si="30"/>
        <v>0</v>
      </c>
      <c r="O122" s="57">
        <f t="shared" si="31"/>
        <v>0</v>
      </c>
      <c r="P122" s="57">
        <f t="shared" si="32"/>
        <v>0</v>
      </c>
    </row>
    <row r="123" spans="2:16">
      <c r="B123" s="15" t="s">
        <v>237</v>
      </c>
      <c r="C123" s="50" t="s">
        <v>66</v>
      </c>
      <c r="D123" s="50" t="s">
        <v>54</v>
      </c>
      <c r="E123" s="50" t="s">
        <v>271</v>
      </c>
      <c r="F123" s="50" t="s">
        <v>20</v>
      </c>
      <c r="G123" s="204">
        <f>10-6</f>
        <v>4</v>
      </c>
      <c r="H123" s="204">
        <v>4</v>
      </c>
      <c r="I123" s="212">
        <f t="shared" si="25"/>
        <v>1</v>
      </c>
      <c r="J123" s="42">
        <v>1</v>
      </c>
      <c r="K123" s="43">
        <f t="shared" si="27"/>
        <v>4</v>
      </c>
      <c r="L123" s="43">
        <f t="shared" si="28"/>
        <v>4</v>
      </c>
      <c r="M123" s="43">
        <f t="shared" si="29"/>
        <v>1</v>
      </c>
      <c r="N123" s="57">
        <f t="shared" si="30"/>
        <v>0</v>
      </c>
      <c r="O123" s="57">
        <f t="shared" si="31"/>
        <v>0</v>
      </c>
      <c r="P123" s="57">
        <f t="shared" si="32"/>
        <v>0</v>
      </c>
    </row>
    <row r="124" spans="2:16" hidden="1">
      <c r="B124" s="15" t="s">
        <v>469</v>
      </c>
      <c r="C124" s="50" t="s">
        <v>66</v>
      </c>
      <c r="D124" s="50" t="s">
        <v>54</v>
      </c>
      <c r="E124" s="50" t="s">
        <v>272</v>
      </c>
      <c r="F124" s="50" t="s">
        <v>20</v>
      </c>
      <c r="G124" s="204">
        <v>0</v>
      </c>
      <c r="H124" s="204"/>
      <c r="I124" s="212" t="e">
        <f t="shared" si="25"/>
        <v>#DIV/0!</v>
      </c>
      <c r="J124" s="42">
        <v>1</v>
      </c>
      <c r="K124" s="43">
        <f t="shared" si="27"/>
        <v>0</v>
      </c>
      <c r="L124" s="43">
        <f t="shared" si="28"/>
        <v>0</v>
      </c>
      <c r="M124" s="43" t="e">
        <f t="shared" si="29"/>
        <v>#DIV/0!</v>
      </c>
      <c r="N124" s="57">
        <f t="shared" si="30"/>
        <v>0</v>
      </c>
      <c r="O124" s="57">
        <f t="shared" si="31"/>
        <v>0</v>
      </c>
      <c r="P124" s="57">
        <f t="shared" si="32"/>
        <v>0</v>
      </c>
    </row>
    <row r="125" spans="2:16" ht="25.5">
      <c r="B125" s="15" t="s">
        <v>470</v>
      </c>
      <c r="C125" s="50" t="s">
        <v>66</v>
      </c>
      <c r="D125" s="50" t="s">
        <v>54</v>
      </c>
      <c r="E125" s="50" t="s">
        <v>273</v>
      </c>
      <c r="F125" s="50" t="s">
        <v>20</v>
      </c>
      <c r="G125" s="204">
        <v>2</v>
      </c>
      <c r="H125" s="204"/>
      <c r="I125" s="212">
        <f t="shared" si="25"/>
        <v>0</v>
      </c>
      <c r="J125" s="42">
        <v>1</v>
      </c>
      <c r="K125" s="43">
        <f t="shared" si="27"/>
        <v>2</v>
      </c>
      <c r="L125" s="43">
        <f t="shared" si="28"/>
        <v>0</v>
      </c>
      <c r="M125" s="43">
        <f t="shared" si="29"/>
        <v>0</v>
      </c>
      <c r="N125" s="57">
        <f t="shared" si="30"/>
        <v>0</v>
      </c>
      <c r="O125" s="57">
        <f t="shared" si="31"/>
        <v>0</v>
      </c>
      <c r="P125" s="57">
        <f t="shared" si="32"/>
        <v>0</v>
      </c>
    </row>
    <row r="126" spans="2:16" s="6" customFormat="1" ht="25.5">
      <c r="B126" s="74" t="s">
        <v>438</v>
      </c>
      <c r="C126" s="11" t="s">
        <v>66</v>
      </c>
      <c r="D126" s="11" t="s">
        <v>54</v>
      </c>
      <c r="E126" s="11" t="s">
        <v>159</v>
      </c>
      <c r="F126" s="11"/>
      <c r="G126" s="203">
        <f t="shared" ref="G126:G127" si="35">G127</f>
        <v>4.5</v>
      </c>
      <c r="H126" s="203">
        <v>4.5</v>
      </c>
      <c r="I126" s="207">
        <f t="shared" si="25"/>
        <v>1</v>
      </c>
      <c r="J126" s="13"/>
      <c r="K126" s="43">
        <f t="shared" si="27"/>
        <v>0</v>
      </c>
      <c r="L126" s="43">
        <f t="shared" si="28"/>
        <v>0</v>
      </c>
      <c r="M126" s="43">
        <f t="shared" si="29"/>
        <v>0</v>
      </c>
      <c r="N126" s="57">
        <f t="shared" si="30"/>
        <v>0</v>
      </c>
      <c r="O126" s="57">
        <f t="shared" si="31"/>
        <v>0</v>
      </c>
      <c r="P126" s="57">
        <f t="shared" si="32"/>
        <v>0</v>
      </c>
    </row>
    <row r="127" spans="2:16">
      <c r="B127" s="15" t="s">
        <v>256</v>
      </c>
      <c r="C127" s="50" t="s">
        <v>66</v>
      </c>
      <c r="D127" s="50" t="s">
        <v>54</v>
      </c>
      <c r="E127" s="50" t="s">
        <v>160</v>
      </c>
      <c r="F127" s="50"/>
      <c r="G127" s="204">
        <f t="shared" si="35"/>
        <v>4.5</v>
      </c>
      <c r="H127" s="204">
        <v>4.5</v>
      </c>
      <c r="I127" s="212">
        <f t="shared" si="25"/>
        <v>1</v>
      </c>
      <c r="J127" s="42"/>
      <c r="K127" s="43">
        <f t="shared" si="27"/>
        <v>0</v>
      </c>
      <c r="L127" s="43">
        <f t="shared" si="28"/>
        <v>0</v>
      </c>
      <c r="M127" s="43">
        <f t="shared" si="29"/>
        <v>0</v>
      </c>
      <c r="N127" s="57">
        <f t="shared" si="30"/>
        <v>0</v>
      </c>
      <c r="O127" s="57">
        <f t="shared" si="31"/>
        <v>0</v>
      </c>
      <c r="P127" s="57">
        <f t="shared" si="32"/>
        <v>0</v>
      </c>
    </row>
    <row r="128" spans="2:16">
      <c r="B128" s="15" t="s">
        <v>19</v>
      </c>
      <c r="C128" s="50" t="s">
        <v>66</v>
      </c>
      <c r="D128" s="50" t="s">
        <v>54</v>
      </c>
      <c r="E128" s="50" t="s">
        <v>274</v>
      </c>
      <c r="F128" s="50" t="s">
        <v>20</v>
      </c>
      <c r="G128" s="204">
        <f>9.9-5.4</f>
        <v>4.5</v>
      </c>
      <c r="H128" s="204">
        <v>4.5</v>
      </c>
      <c r="I128" s="212">
        <f t="shared" si="25"/>
        <v>1</v>
      </c>
      <c r="J128" s="42">
        <v>1</v>
      </c>
      <c r="K128" s="43">
        <f t="shared" si="27"/>
        <v>4.5</v>
      </c>
      <c r="L128" s="43">
        <f t="shared" si="28"/>
        <v>4.5</v>
      </c>
      <c r="M128" s="43">
        <f t="shared" si="29"/>
        <v>1</v>
      </c>
      <c r="N128" s="57">
        <f t="shared" si="30"/>
        <v>0</v>
      </c>
      <c r="O128" s="57">
        <f t="shared" si="31"/>
        <v>0</v>
      </c>
      <c r="P128" s="57">
        <f t="shared" si="32"/>
        <v>0</v>
      </c>
    </row>
    <row r="129" spans="2:16" s="6" customFormat="1" ht="38.25">
      <c r="B129" s="14" t="s">
        <v>924</v>
      </c>
      <c r="C129" s="11" t="s">
        <v>66</v>
      </c>
      <c r="D129" s="11" t="s">
        <v>54</v>
      </c>
      <c r="E129" s="11" t="s">
        <v>921</v>
      </c>
      <c r="F129" s="11"/>
      <c r="G129" s="203">
        <f>G130+G131+G132</f>
        <v>1700</v>
      </c>
      <c r="H129" s="203">
        <v>1001.5</v>
      </c>
      <c r="I129" s="207">
        <f t="shared" si="25"/>
        <v>0.58911764705882352</v>
      </c>
      <c r="J129" s="13"/>
      <c r="K129" s="46"/>
      <c r="L129" s="46"/>
      <c r="M129" s="46"/>
      <c r="N129" s="58"/>
      <c r="O129" s="58"/>
      <c r="P129" s="58"/>
    </row>
    <row r="130" spans="2:16" ht="38.25">
      <c r="B130" s="15" t="s">
        <v>17</v>
      </c>
      <c r="C130" s="50" t="s">
        <v>66</v>
      </c>
      <c r="D130" s="50" t="s">
        <v>54</v>
      </c>
      <c r="E130" s="50" t="s">
        <v>921</v>
      </c>
      <c r="F130" s="50" t="s">
        <v>18</v>
      </c>
      <c r="G130" s="204">
        <v>1595</v>
      </c>
      <c r="H130" s="204">
        <v>921.8</v>
      </c>
      <c r="I130" s="212">
        <f t="shared" si="25"/>
        <v>0.57793103448275862</v>
      </c>
      <c r="J130" s="42"/>
      <c r="K130" s="43"/>
      <c r="L130" s="43"/>
      <c r="M130" s="43"/>
      <c r="N130" s="57"/>
      <c r="O130" s="57"/>
      <c r="P130" s="57"/>
    </row>
    <row r="131" spans="2:16">
      <c r="B131" s="15" t="s">
        <v>19</v>
      </c>
      <c r="C131" s="50" t="s">
        <v>66</v>
      </c>
      <c r="D131" s="50" t="s">
        <v>54</v>
      </c>
      <c r="E131" s="50" t="s">
        <v>921</v>
      </c>
      <c r="F131" s="50" t="s">
        <v>20</v>
      </c>
      <c r="G131" s="204">
        <v>100</v>
      </c>
      <c r="H131" s="204">
        <v>79.7</v>
      </c>
      <c r="I131" s="212">
        <f t="shared" si="25"/>
        <v>0.79700000000000004</v>
      </c>
      <c r="J131" s="42"/>
      <c r="K131" s="43"/>
      <c r="L131" s="43"/>
      <c r="M131" s="43"/>
      <c r="N131" s="57"/>
      <c r="O131" s="57"/>
      <c r="P131" s="57"/>
    </row>
    <row r="132" spans="2:16">
      <c r="B132" s="15" t="s">
        <v>21</v>
      </c>
      <c r="C132" s="50" t="s">
        <v>66</v>
      </c>
      <c r="D132" s="50" t="s">
        <v>54</v>
      </c>
      <c r="E132" s="50" t="s">
        <v>151</v>
      </c>
      <c r="F132" s="50" t="s">
        <v>22</v>
      </c>
      <c r="G132" s="204">
        <v>5</v>
      </c>
      <c r="H132" s="204">
        <v>0</v>
      </c>
      <c r="I132" s="212">
        <f t="shared" si="25"/>
        <v>0</v>
      </c>
      <c r="J132" s="42"/>
      <c r="K132" s="43"/>
      <c r="L132" s="43"/>
      <c r="M132" s="43"/>
      <c r="N132" s="57"/>
      <c r="O132" s="57"/>
      <c r="P132" s="57"/>
    </row>
    <row r="133" spans="2:16">
      <c r="B133" s="14" t="s">
        <v>97</v>
      </c>
      <c r="C133" s="11" t="s">
        <v>66</v>
      </c>
      <c r="D133" s="11" t="s">
        <v>92</v>
      </c>
      <c r="E133" s="50"/>
      <c r="F133" s="50"/>
      <c r="G133" s="203">
        <f>G164+G137+G134+G155+G146</f>
        <v>31156.300000000003</v>
      </c>
      <c r="H133" s="203">
        <v>24184.400000000001</v>
      </c>
      <c r="I133" s="207">
        <f t="shared" si="25"/>
        <v>0.77622824276310087</v>
      </c>
      <c r="J133" s="42"/>
      <c r="K133" s="43">
        <f t="shared" si="27"/>
        <v>0</v>
      </c>
      <c r="L133" s="43">
        <f t="shared" si="28"/>
        <v>0</v>
      </c>
      <c r="M133" s="43">
        <f t="shared" si="29"/>
        <v>0</v>
      </c>
      <c r="N133" s="57">
        <f t="shared" si="30"/>
        <v>0</v>
      </c>
      <c r="O133" s="57">
        <f t="shared" si="31"/>
        <v>0</v>
      </c>
      <c r="P133" s="57">
        <f t="shared" si="32"/>
        <v>0</v>
      </c>
    </row>
    <row r="134" spans="2:16">
      <c r="B134" s="14" t="s">
        <v>215</v>
      </c>
      <c r="C134" s="11" t="s">
        <v>66</v>
      </c>
      <c r="D134" s="11" t="s">
        <v>214</v>
      </c>
      <c r="E134" s="50"/>
      <c r="F134" s="50"/>
      <c r="G134" s="203">
        <f t="shared" ref="G134:G135" si="36">G135</f>
        <v>34.200000000000003</v>
      </c>
      <c r="H134" s="203">
        <v>0</v>
      </c>
      <c r="I134" s="207">
        <f t="shared" si="25"/>
        <v>0</v>
      </c>
      <c r="J134" s="42"/>
      <c r="K134" s="43">
        <f t="shared" si="27"/>
        <v>0</v>
      </c>
      <c r="L134" s="43">
        <f t="shared" si="28"/>
        <v>0</v>
      </c>
      <c r="M134" s="43">
        <f t="shared" si="29"/>
        <v>0</v>
      </c>
      <c r="N134" s="57">
        <f t="shared" si="30"/>
        <v>0</v>
      </c>
      <c r="O134" s="57">
        <f t="shared" si="31"/>
        <v>0</v>
      </c>
      <c r="P134" s="57">
        <f t="shared" si="32"/>
        <v>0</v>
      </c>
    </row>
    <row r="135" spans="2:16">
      <c r="B135" s="15" t="s">
        <v>76</v>
      </c>
      <c r="C135" s="50" t="s">
        <v>66</v>
      </c>
      <c r="D135" s="50" t="s">
        <v>214</v>
      </c>
      <c r="E135" s="50" t="s">
        <v>139</v>
      </c>
      <c r="F135" s="50"/>
      <c r="G135" s="204">
        <f t="shared" si="36"/>
        <v>34.200000000000003</v>
      </c>
      <c r="H135" s="204">
        <v>0</v>
      </c>
      <c r="I135" s="212">
        <f t="shared" si="25"/>
        <v>0</v>
      </c>
      <c r="J135" s="42"/>
      <c r="K135" s="43">
        <f t="shared" si="27"/>
        <v>0</v>
      </c>
      <c r="L135" s="43">
        <f t="shared" si="28"/>
        <v>0</v>
      </c>
      <c r="M135" s="43">
        <f t="shared" si="29"/>
        <v>0</v>
      </c>
      <c r="N135" s="57">
        <f t="shared" si="30"/>
        <v>0</v>
      </c>
      <c r="O135" s="57">
        <f t="shared" si="31"/>
        <v>0</v>
      </c>
      <c r="P135" s="57">
        <f t="shared" si="32"/>
        <v>0</v>
      </c>
    </row>
    <row r="136" spans="2:16" ht="38.25">
      <c r="B136" s="15" t="s">
        <v>114</v>
      </c>
      <c r="C136" s="50" t="s">
        <v>66</v>
      </c>
      <c r="D136" s="50" t="s">
        <v>214</v>
      </c>
      <c r="E136" s="50" t="s">
        <v>216</v>
      </c>
      <c r="F136" s="50" t="s">
        <v>20</v>
      </c>
      <c r="G136" s="204">
        <f>88.9-54.7</f>
        <v>34.200000000000003</v>
      </c>
      <c r="H136" s="204">
        <v>0</v>
      </c>
      <c r="I136" s="212">
        <f t="shared" si="25"/>
        <v>0</v>
      </c>
      <c r="J136" s="42">
        <v>2</v>
      </c>
      <c r="K136" s="43">
        <f t="shared" si="27"/>
        <v>0</v>
      </c>
      <c r="L136" s="43">
        <f t="shared" si="28"/>
        <v>0</v>
      </c>
      <c r="M136" s="43">
        <f t="shared" si="29"/>
        <v>0</v>
      </c>
      <c r="N136" s="57">
        <f t="shared" si="30"/>
        <v>34.200000000000003</v>
      </c>
      <c r="O136" s="57">
        <f t="shared" si="31"/>
        <v>0</v>
      </c>
      <c r="P136" s="57">
        <f t="shared" si="32"/>
        <v>0</v>
      </c>
    </row>
    <row r="137" spans="2:16">
      <c r="B137" s="14" t="s">
        <v>195</v>
      </c>
      <c r="C137" s="11" t="s">
        <v>66</v>
      </c>
      <c r="D137" s="11" t="s">
        <v>196</v>
      </c>
      <c r="E137" s="50"/>
      <c r="F137" s="50"/>
      <c r="G137" s="203">
        <f>G138+G141+G143</f>
        <v>3084.8</v>
      </c>
      <c r="H137" s="203">
        <v>3055.4</v>
      </c>
      <c r="I137" s="207">
        <f t="shared" si="25"/>
        <v>0.99046939834024894</v>
      </c>
      <c r="J137" s="42"/>
      <c r="K137" s="43">
        <f t="shared" si="27"/>
        <v>0</v>
      </c>
      <c r="L137" s="43">
        <f t="shared" si="28"/>
        <v>0</v>
      </c>
      <c r="M137" s="43">
        <f t="shared" si="29"/>
        <v>0</v>
      </c>
      <c r="N137" s="57">
        <f t="shared" si="30"/>
        <v>0</v>
      </c>
      <c r="O137" s="57">
        <f t="shared" si="31"/>
        <v>0</v>
      </c>
      <c r="P137" s="57">
        <f t="shared" si="32"/>
        <v>0</v>
      </c>
    </row>
    <row r="138" spans="2:16" s="6" customFormat="1" ht="63.75">
      <c r="B138" s="98" t="s">
        <v>702</v>
      </c>
      <c r="C138" s="11" t="s">
        <v>66</v>
      </c>
      <c r="D138" s="11" t="s">
        <v>196</v>
      </c>
      <c r="E138" s="11" t="s">
        <v>258</v>
      </c>
      <c r="F138" s="11"/>
      <c r="G138" s="203">
        <f t="shared" ref="G138:G139" si="37">G139</f>
        <v>2302.4</v>
      </c>
      <c r="H138" s="203">
        <v>2293.6999999999998</v>
      </c>
      <c r="I138" s="207">
        <f t="shared" si="25"/>
        <v>0.99622133425990256</v>
      </c>
      <c r="J138" s="13"/>
      <c r="K138" s="43">
        <f t="shared" si="27"/>
        <v>0</v>
      </c>
      <c r="L138" s="43">
        <f t="shared" si="28"/>
        <v>0</v>
      </c>
      <c r="M138" s="43">
        <f t="shared" si="29"/>
        <v>0</v>
      </c>
      <c r="N138" s="57">
        <f t="shared" si="30"/>
        <v>0</v>
      </c>
      <c r="O138" s="57">
        <f t="shared" si="31"/>
        <v>0</v>
      </c>
      <c r="P138" s="57">
        <f t="shared" si="32"/>
        <v>0</v>
      </c>
    </row>
    <row r="139" spans="2:16" ht="38.25">
      <c r="B139" s="15" t="s">
        <v>259</v>
      </c>
      <c r="C139" s="50" t="s">
        <v>66</v>
      </c>
      <c r="D139" s="50" t="s">
        <v>196</v>
      </c>
      <c r="E139" s="50" t="s">
        <v>278</v>
      </c>
      <c r="F139" s="50"/>
      <c r="G139" s="204">
        <f t="shared" si="37"/>
        <v>2302.4</v>
      </c>
      <c r="H139" s="204">
        <v>2293.6999999999998</v>
      </c>
      <c r="I139" s="212">
        <f t="shared" si="25"/>
        <v>0.99622133425990256</v>
      </c>
      <c r="J139" s="42"/>
      <c r="K139" s="43">
        <f t="shared" si="27"/>
        <v>0</v>
      </c>
      <c r="L139" s="43">
        <f t="shared" si="28"/>
        <v>0</v>
      </c>
      <c r="M139" s="43">
        <f t="shared" si="29"/>
        <v>0</v>
      </c>
      <c r="N139" s="57">
        <f t="shared" si="30"/>
        <v>0</v>
      </c>
      <c r="O139" s="57">
        <f t="shared" si="31"/>
        <v>0</v>
      </c>
      <c r="P139" s="57">
        <f t="shared" si="32"/>
        <v>0</v>
      </c>
    </row>
    <row r="140" spans="2:16">
      <c r="B140" s="15" t="s">
        <v>19</v>
      </c>
      <c r="C140" s="50" t="s">
        <v>66</v>
      </c>
      <c r="D140" s="50" t="s">
        <v>196</v>
      </c>
      <c r="E140" s="50" t="s">
        <v>279</v>
      </c>
      <c r="F140" s="50" t="s">
        <v>20</v>
      </c>
      <c r="G140" s="204">
        <f>1302.4+1000</f>
        <v>2302.4</v>
      </c>
      <c r="H140" s="204">
        <v>2293.6999999999998</v>
      </c>
      <c r="I140" s="212">
        <f t="shared" si="25"/>
        <v>0.99622133425990256</v>
      </c>
      <c r="J140" s="42">
        <v>1</v>
      </c>
      <c r="K140" s="43">
        <f t="shared" si="27"/>
        <v>2302.4</v>
      </c>
      <c r="L140" s="43">
        <f t="shared" si="28"/>
        <v>2293.6999999999998</v>
      </c>
      <c r="M140" s="43">
        <f t="shared" si="29"/>
        <v>0.99622133425990256</v>
      </c>
      <c r="N140" s="57">
        <f t="shared" si="30"/>
        <v>0</v>
      </c>
      <c r="O140" s="57">
        <f t="shared" si="31"/>
        <v>0</v>
      </c>
      <c r="P140" s="57">
        <f t="shared" si="32"/>
        <v>0</v>
      </c>
    </row>
    <row r="141" spans="2:16">
      <c r="B141" s="15" t="s">
        <v>641</v>
      </c>
      <c r="C141" s="50" t="s">
        <v>66</v>
      </c>
      <c r="D141" s="50" t="s">
        <v>196</v>
      </c>
      <c r="E141" s="50" t="s">
        <v>642</v>
      </c>
      <c r="F141" s="50"/>
      <c r="G141" s="204">
        <f>G142</f>
        <v>700</v>
      </c>
      <c r="H141" s="204">
        <v>679.3</v>
      </c>
      <c r="I141" s="212">
        <f t="shared" si="25"/>
        <v>0.97042857142857142</v>
      </c>
      <c r="J141" s="42"/>
      <c r="K141" s="43">
        <f t="shared" si="27"/>
        <v>0</v>
      </c>
      <c r="L141" s="43">
        <f t="shared" si="28"/>
        <v>0</v>
      </c>
      <c r="M141" s="43">
        <f t="shared" si="29"/>
        <v>0</v>
      </c>
      <c r="N141" s="57">
        <f t="shared" si="30"/>
        <v>0</v>
      </c>
      <c r="O141" s="57">
        <f t="shared" si="31"/>
        <v>0</v>
      </c>
      <c r="P141" s="57">
        <f t="shared" si="32"/>
        <v>0</v>
      </c>
    </row>
    <row r="142" spans="2:16">
      <c r="B142" s="15" t="s">
        <v>19</v>
      </c>
      <c r="C142" s="50" t="s">
        <v>66</v>
      </c>
      <c r="D142" s="50" t="s">
        <v>196</v>
      </c>
      <c r="E142" s="50" t="s">
        <v>642</v>
      </c>
      <c r="F142" s="50" t="s">
        <v>20</v>
      </c>
      <c r="G142" s="204">
        <v>700</v>
      </c>
      <c r="H142" s="204">
        <v>679.3</v>
      </c>
      <c r="I142" s="212">
        <f t="shared" si="25"/>
        <v>0.97042857142857142</v>
      </c>
      <c r="J142" s="42">
        <v>1</v>
      </c>
      <c r="K142" s="43">
        <f t="shared" si="27"/>
        <v>700</v>
      </c>
      <c r="L142" s="43">
        <f t="shared" si="28"/>
        <v>679.3</v>
      </c>
      <c r="M142" s="43">
        <f t="shared" si="29"/>
        <v>0.97042857142857142</v>
      </c>
      <c r="N142" s="57">
        <f t="shared" si="30"/>
        <v>0</v>
      </c>
      <c r="O142" s="57">
        <f t="shared" si="31"/>
        <v>0</v>
      </c>
      <c r="P142" s="57">
        <f t="shared" si="32"/>
        <v>0</v>
      </c>
    </row>
    <row r="143" spans="2:16" ht="25.5">
      <c r="B143" s="15" t="s">
        <v>852</v>
      </c>
      <c r="C143" s="50" t="s">
        <v>66</v>
      </c>
      <c r="D143" s="50" t="s">
        <v>196</v>
      </c>
      <c r="E143" s="50" t="s">
        <v>853</v>
      </c>
      <c r="F143" s="50"/>
      <c r="G143" s="204">
        <f>G144+G145</f>
        <v>82.4</v>
      </c>
      <c r="H143" s="204">
        <v>82.4</v>
      </c>
      <c r="I143" s="212">
        <f t="shared" si="25"/>
        <v>1</v>
      </c>
      <c r="J143" s="42"/>
      <c r="K143" s="43"/>
      <c r="L143" s="43"/>
      <c r="M143" s="43"/>
      <c r="N143" s="57"/>
      <c r="O143" s="57"/>
      <c r="P143" s="57"/>
    </row>
    <row r="144" spans="2:16" s="137" customFormat="1" ht="38.25">
      <c r="B144" s="15" t="s">
        <v>17</v>
      </c>
      <c r="C144" s="50" t="s">
        <v>66</v>
      </c>
      <c r="D144" s="50" t="s">
        <v>196</v>
      </c>
      <c r="E144" s="50" t="s">
        <v>853</v>
      </c>
      <c r="F144" s="50" t="s">
        <v>18</v>
      </c>
      <c r="G144" s="204">
        <f>60+22.4-7.6</f>
        <v>74.800000000000011</v>
      </c>
      <c r="H144" s="204">
        <v>74.8</v>
      </c>
      <c r="I144" s="212">
        <f t="shared" si="25"/>
        <v>0.99999999999999978</v>
      </c>
      <c r="J144" s="138"/>
      <c r="K144" s="148"/>
      <c r="L144" s="148"/>
      <c r="M144" s="148"/>
      <c r="N144" s="149"/>
      <c r="O144" s="149"/>
      <c r="P144" s="149"/>
    </row>
    <row r="145" spans="2:16" s="137" customFormat="1">
      <c r="B145" s="15" t="s">
        <v>19</v>
      </c>
      <c r="C145" s="50" t="s">
        <v>66</v>
      </c>
      <c r="D145" s="50" t="s">
        <v>196</v>
      </c>
      <c r="E145" s="50" t="s">
        <v>853</v>
      </c>
      <c r="F145" s="50" t="s">
        <v>20</v>
      </c>
      <c r="G145" s="204">
        <v>7.6</v>
      </c>
      <c r="H145" s="204">
        <v>7.6</v>
      </c>
      <c r="I145" s="212">
        <f t="shared" si="25"/>
        <v>1</v>
      </c>
      <c r="J145" s="138"/>
      <c r="K145" s="148"/>
      <c r="L145" s="148"/>
      <c r="M145" s="148"/>
      <c r="N145" s="149"/>
      <c r="O145" s="149"/>
      <c r="P145" s="149"/>
    </row>
    <row r="146" spans="2:16">
      <c r="B146" s="14" t="s">
        <v>381</v>
      </c>
      <c r="C146" s="50" t="s">
        <v>66</v>
      </c>
      <c r="D146" s="11" t="s">
        <v>377</v>
      </c>
      <c r="E146" s="50"/>
      <c r="F146" s="50"/>
      <c r="G146" s="203">
        <f>G147+G149+G152</f>
        <v>26511.300000000003</v>
      </c>
      <c r="H146" s="203">
        <v>20035.599999999999</v>
      </c>
      <c r="I146" s="207">
        <f t="shared" si="25"/>
        <v>0.75573811921708844</v>
      </c>
      <c r="J146" s="42"/>
      <c r="K146" s="43">
        <f t="shared" si="27"/>
        <v>0</v>
      </c>
      <c r="L146" s="43">
        <f t="shared" si="28"/>
        <v>0</v>
      </c>
      <c r="M146" s="43">
        <f t="shared" si="29"/>
        <v>0</v>
      </c>
      <c r="N146" s="57">
        <f t="shared" si="30"/>
        <v>0</v>
      </c>
      <c r="O146" s="57">
        <f t="shared" si="31"/>
        <v>0</v>
      </c>
      <c r="P146" s="57">
        <f t="shared" si="32"/>
        <v>0</v>
      </c>
    </row>
    <row r="147" spans="2:16" ht="25.5">
      <c r="B147" s="15" t="s">
        <v>492</v>
      </c>
      <c r="C147" s="50" t="s">
        <v>66</v>
      </c>
      <c r="D147" s="50" t="s">
        <v>377</v>
      </c>
      <c r="E147" s="50" t="s">
        <v>491</v>
      </c>
      <c r="F147" s="50"/>
      <c r="G147" s="204">
        <f>G148</f>
        <v>9759.6</v>
      </c>
      <c r="H147" s="204">
        <v>4108.8</v>
      </c>
      <c r="I147" s="212">
        <f t="shared" si="25"/>
        <v>0.42100086069101195</v>
      </c>
      <c r="J147" s="42"/>
      <c r="K147" s="43">
        <f t="shared" si="27"/>
        <v>0</v>
      </c>
      <c r="L147" s="43">
        <f t="shared" si="28"/>
        <v>0</v>
      </c>
      <c r="M147" s="43">
        <f t="shared" si="29"/>
        <v>0</v>
      </c>
      <c r="N147" s="57">
        <f t="shared" si="30"/>
        <v>0</v>
      </c>
      <c r="O147" s="57">
        <f t="shared" si="31"/>
        <v>0</v>
      </c>
      <c r="P147" s="57">
        <f t="shared" si="32"/>
        <v>0</v>
      </c>
    </row>
    <row r="148" spans="2:16">
      <c r="B148" s="15" t="s">
        <v>19</v>
      </c>
      <c r="C148" s="50" t="s">
        <v>66</v>
      </c>
      <c r="D148" s="50" t="s">
        <v>377</v>
      </c>
      <c r="E148" s="50" t="s">
        <v>491</v>
      </c>
      <c r="F148" s="50" t="s">
        <v>20</v>
      </c>
      <c r="G148" s="204">
        <f>5356.3+4261.3+142</f>
        <v>9759.6</v>
      </c>
      <c r="H148" s="204">
        <v>4108.8</v>
      </c>
      <c r="I148" s="212">
        <f t="shared" si="25"/>
        <v>0.42100086069101195</v>
      </c>
      <c r="J148" s="42">
        <v>1</v>
      </c>
      <c r="K148" s="43">
        <f t="shared" si="27"/>
        <v>9759.6</v>
      </c>
      <c r="L148" s="43">
        <f t="shared" si="28"/>
        <v>4108.8</v>
      </c>
      <c r="M148" s="43">
        <f t="shared" si="29"/>
        <v>0.42100086069101195</v>
      </c>
      <c r="N148" s="57">
        <f t="shared" si="30"/>
        <v>0</v>
      </c>
      <c r="O148" s="57">
        <f t="shared" si="31"/>
        <v>0</v>
      </c>
      <c r="P148" s="57">
        <f t="shared" si="32"/>
        <v>0</v>
      </c>
    </row>
    <row r="149" spans="2:16">
      <c r="B149" s="15" t="s">
        <v>583</v>
      </c>
      <c r="C149" s="50" t="s">
        <v>66</v>
      </c>
      <c r="D149" s="50" t="s">
        <v>377</v>
      </c>
      <c r="E149" s="50" t="s">
        <v>582</v>
      </c>
      <c r="F149" s="50"/>
      <c r="G149" s="204">
        <f>G150+G151</f>
        <v>8670.7000000000007</v>
      </c>
      <c r="H149" s="204">
        <v>7968.6</v>
      </c>
      <c r="I149" s="212">
        <f t="shared" si="25"/>
        <v>0.91902614552458273</v>
      </c>
      <c r="J149" s="42"/>
      <c r="K149" s="43">
        <f t="shared" si="27"/>
        <v>0</v>
      </c>
      <c r="L149" s="43">
        <f t="shared" si="28"/>
        <v>0</v>
      </c>
      <c r="M149" s="43">
        <f t="shared" si="29"/>
        <v>0</v>
      </c>
      <c r="N149" s="57">
        <f t="shared" si="30"/>
        <v>0</v>
      </c>
      <c r="O149" s="57">
        <f t="shared" si="31"/>
        <v>0</v>
      </c>
      <c r="P149" s="57">
        <f t="shared" si="32"/>
        <v>0</v>
      </c>
    </row>
    <row r="150" spans="2:16">
      <c r="B150" s="15" t="s">
        <v>19</v>
      </c>
      <c r="C150" s="50" t="s">
        <v>66</v>
      </c>
      <c r="D150" s="50" t="s">
        <v>377</v>
      </c>
      <c r="E150" s="50" t="s">
        <v>582</v>
      </c>
      <c r="F150" s="50" t="s">
        <v>20</v>
      </c>
      <c r="G150" s="204">
        <f>26+60.7</f>
        <v>86.7</v>
      </c>
      <c r="H150" s="204">
        <v>78.8</v>
      </c>
      <c r="I150" s="212">
        <f t="shared" si="25"/>
        <v>0.90888119953863888</v>
      </c>
      <c r="J150" s="42">
        <v>1</v>
      </c>
      <c r="K150" s="43">
        <f t="shared" si="27"/>
        <v>86.7</v>
      </c>
      <c r="L150" s="43">
        <f t="shared" si="28"/>
        <v>78.8</v>
      </c>
      <c r="M150" s="43">
        <f t="shared" si="29"/>
        <v>0.90888119953863888</v>
      </c>
      <c r="N150" s="57">
        <f t="shared" si="30"/>
        <v>0</v>
      </c>
      <c r="O150" s="57">
        <f t="shared" si="31"/>
        <v>0</v>
      </c>
      <c r="P150" s="57">
        <f t="shared" si="32"/>
        <v>0</v>
      </c>
    </row>
    <row r="151" spans="2:16" ht="25.5">
      <c r="B151" s="15" t="s">
        <v>509</v>
      </c>
      <c r="C151" s="50" t="s">
        <v>66</v>
      </c>
      <c r="D151" s="50" t="s">
        <v>377</v>
      </c>
      <c r="E151" s="50" t="s">
        <v>582</v>
      </c>
      <c r="F151" s="50" t="s">
        <v>20</v>
      </c>
      <c r="G151" s="204">
        <f>2584+6000</f>
        <v>8584</v>
      </c>
      <c r="H151" s="204">
        <v>7889.8</v>
      </c>
      <c r="I151" s="212">
        <f t="shared" si="25"/>
        <v>0.91912861136999069</v>
      </c>
      <c r="J151" s="42">
        <v>2</v>
      </c>
      <c r="K151" s="43">
        <f t="shared" si="27"/>
        <v>0</v>
      </c>
      <c r="L151" s="43">
        <f t="shared" si="28"/>
        <v>0</v>
      </c>
      <c r="M151" s="43">
        <f t="shared" si="29"/>
        <v>0</v>
      </c>
      <c r="N151" s="57">
        <f t="shared" si="30"/>
        <v>8584</v>
      </c>
      <c r="O151" s="57">
        <f t="shared" si="31"/>
        <v>7889.8</v>
      </c>
      <c r="P151" s="57">
        <f t="shared" si="32"/>
        <v>0.91912861136999069</v>
      </c>
    </row>
    <row r="152" spans="2:16" ht="25.5">
      <c r="B152" s="15" t="s">
        <v>584</v>
      </c>
      <c r="C152" s="50" t="s">
        <v>66</v>
      </c>
      <c r="D152" s="50" t="s">
        <v>377</v>
      </c>
      <c r="E152" s="50" t="s">
        <v>585</v>
      </c>
      <c r="F152" s="50"/>
      <c r="G152" s="204">
        <f>G153+G154</f>
        <v>8081</v>
      </c>
      <c r="H152" s="204">
        <v>7958.2</v>
      </c>
      <c r="I152" s="212">
        <f t="shared" si="25"/>
        <v>0.98480386090830341</v>
      </c>
      <c r="J152" s="42"/>
      <c r="K152" s="43">
        <f t="shared" si="27"/>
        <v>0</v>
      </c>
      <c r="L152" s="43">
        <f t="shared" si="28"/>
        <v>0</v>
      </c>
      <c r="M152" s="43">
        <f t="shared" si="29"/>
        <v>0</v>
      </c>
      <c r="N152" s="57">
        <f t="shared" si="30"/>
        <v>0</v>
      </c>
      <c r="O152" s="57">
        <f t="shared" si="31"/>
        <v>0</v>
      </c>
      <c r="P152" s="57">
        <f t="shared" si="32"/>
        <v>0</v>
      </c>
    </row>
    <row r="153" spans="2:16">
      <c r="B153" s="15" t="s">
        <v>19</v>
      </c>
      <c r="C153" s="50" t="s">
        <v>66</v>
      </c>
      <c r="D153" s="50" t="s">
        <v>377</v>
      </c>
      <c r="E153" s="50" t="s">
        <v>585</v>
      </c>
      <c r="F153" s="50" t="s">
        <v>20</v>
      </c>
      <c r="G153" s="204">
        <v>81</v>
      </c>
      <c r="H153" s="204">
        <v>80.5</v>
      </c>
      <c r="I153" s="212">
        <f t="shared" si="25"/>
        <v>0.99382716049382713</v>
      </c>
      <c r="J153" s="42">
        <v>1</v>
      </c>
      <c r="K153" s="43">
        <f t="shared" si="27"/>
        <v>81</v>
      </c>
      <c r="L153" s="43">
        <f t="shared" si="28"/>
        <v>80.5</v>
      </c>
      <c r="M153" s="43">
        <f t="shared" si="29"/>
        <v>0.99382716049382713</v>
      </c>
      <c r="N153" s="57">
        <f t="shared" si="30"/>
        <v>0</v>
      </c>
      <c r="O153" s="57">
        <f t="shared" si="31"/>
        <v>0</v>
      </c>
      <c r="P153" s="57">
        <f t="shared" si="32"/>
        <v>0</v>
      </c>
    </row>
    <row r="154" spans="2:16" ht="25.5">
      <c r="B154" s="15" t="s">
        <v>509</v>
      </c>
      <c r="C154" s="50" t="s">
        <v>66</v>
      </c>
      <c r="D154" s="50" t="s">
        <v>377</v>
      </c>
      <c r="E154" s="50" t="s">
        <v>585</v>
      </c>
      <c r="F154" s="50" t="s">
        <v>20</v>
      </c>
      <c r="G154" s="204">
        <v>8000</v>
      </c>
      <c r="H154" s="204">
        <v>7877.7</v>
      </c>
      <c r="I154" s="212">
        <f t="shared" si="25"/>
        <v>0.98471249999999999</v>
      </c>
      <c r="J154" s="42">
        <v>2</v>
      </c>
      <c r="K154" s="43">
        <f t="shared" si="27"/>
        <v>0</v>
      </c>
      <c r="L154" s="43">
        <f t="shared" si="28"/>
        <v>0</v>
      </c>
      <c r="M154" s="43">
        <f t="shared" si="29"/>
        <v>0</v>
      </c>
      <c r="N154" s="57">
        <f t="shared" si="30"/>
        <v>8000</v>
      </c>
      <c r="O154" s="57">
        <f t="shared" si="31"/>
        <v>7877.7</v>
      </c>
      <c r="P154" s="57">
        <f t="shared" si="32"/>
        <v>0.98471249999999999</v>
      </c>
    </row>
    <row r="155" spans="2:16">
      <c r="B155" s="14" t="s">
        <v>311</v>
      </c>
      <c r="C155" s="11" t="s">
        <v>66</v>
      </c>
      <c r="D155" s="11" t="s">
        <v>312</v>
      </c>
      <c r="E155" s="50"/>
      <c r="F155" s="50"/>
      <c r="G155" s="203">
        <f>G156</f>
        <v>682</v>
      </c>
      <c r="H155" s="203">
        <v>562.5</v>
      </c>
      <c r="I155" s="207">
        <f t="shared" ref="I155:I218" si="38">H155/G155</f>
        <v>0.82478005865102644</v>
      </c>
      <c r="J155" s="42"/>
      <c r="K155" s="43">
        <f t="shared" si="27"/>
        <v>0</v>
      </c>
      <c r="L155" s="43">
        <f t="shared" si="28"/>
        <v>0</v>
      </c>
      <c r="M155" s="43">
        <f t="shared" si="29"/>
        <v>0</v>
      </c>
      <c r="N155" s="57">
        <f t="shared" si="30"/>
        <v>0</v>
      </c>
      <c r="O155" s="57">
        <f t="shared" si="31"/>
        <v>0</v>
      </c>
      <c r="P155" s="57">
        <f t="shared" si="32"/>
        <v>0</v>
      </c>
    </row>
    <row r="156" spans="2:16" s="6" customFormat="1" ht="25.5">
      <c r="B156" s="14" t="s">
        <v>707</v>
      </c>
      <c r="C156" s="11" t="s">
        <v>66</v>
      </c>
      <c r="D156" s="11" t="s">
        <v>312</v>
      </c>
      <c r="E156" s="11" t="s">
        <v>263</v>
      </c>
      <c r="F156" s="11"/>
      <c r="G156" s="203">
        <f>G157</f>
        <v>682</v>
      </c>
      <c r="H156" s="203">
        <v>562.5</v>
      </c>
      <c r="I156" s="207">
        <f t="shared" si="38"/>
        <v>0.82478005865102644</v>
      </c>
      <c r="J156" s="13"/>
      <c r="K156" s="43">
        <f t="shared" si="27"/>
        <v>0</v>
      </c>
      <c r="L156" s="43">
        <f t="shared" si="28"/>
        <v>0</v>
      </c>
      <c r="M156" s="43">
        <f t="shared" si="29"/>
        <v>0</v>
      </c>
      <c r="N156" s="57">
        <f t="shared" si="30"/>
        <v>0</v>
      </c>
      <c r="O156" s="57">
        <f t="shared" si="31"/>
        <v>0</v>
      </c>
      <c r="P156" s="57">
        <f t="shared" si="32"/>
        <v>0</v>
      </c>
    </row>
    <row r="157" spans="2:16">
      <c r="B157" s="15" t="s">
        <v>19</v>
      </c>
      <c r="C157" s="50" t="s">
        <v>66</v>
      </c>
      <c r="D157" s="50" t="s">
        <v>312</v>
      </c>
      <c r="E157" s="50" t="s">
        <v>313</v>
      </c>
      <c r="F157" s="50" t="s">
        <v>20</v>
      </c>
      <c r="G157" s="204">
        <f>G158+G159+G162+G163+G160+G161</f>
        <v>682</v>
      </c>
      <c r="H157" s="204">
        <v>562.5</v>
      </c>
      <c r="I157" s="212">
        <f t="shared" si="38"/>
        <v>0.82478005865102644</v>
      </c>
      <c r="J157" s="42"/>
      <c r="K157" s="43">
        <f t="shared" si="27"/>
        <v>0</v>
      </c>
      <c r="L157" s="43">
        <f t="shared" si="28"/>
        <v>0</v>
      </c>
      <c r="M157" s="43">
        <f t="shared" si="29"/>
        <v>0</v>
      </c>
      <c r="N157" s="57">
        <f t="shared" si="30"/>
        <v>0</v>
      </c>
      <c r="O157" s="57">
        <f t="shared" si="31"/>
        <v>0</v>
      </c>
      <c r="P157" s="57">
        <f t="shared" si="32"/>
        <v>0</v>
      </c>
    </row>
    <row r="158" spans="2:16" ht="39" customHeight="1">
      <c r="B158" s="62" t="s">
        <v>888</v>
      </c>
      <c r="C158" s="50" t="s">
        <v>66</v>
      </c>
      <c r="D158" s="50" t="s">
        <v>312</v>
      </c>
      <c r="E158" s="50" t="s">
        <v>314</v>
      </c>
      <c r="F158" s="50" t="s">
        <v>20</v>
      </c>
      <c r="G158" s="204">
        <f>300+300-100</f>
        <v>500</v>
      </c>
      <c r="H158" s="204">
        <v>432.1</v>
      </c>
      <c r="I158" s="212">
        <f t="shared" si="38"/>
        <v>0.86420000000000008</v>
      </c>
      <c r="J158" s="42">
        <v>1</v>
      </c>
      <c r="K158" s="43">
        <f t="shared" si="27"/>
        <v>500</v>
      </c>
      <c r="L158" s="43">
        <f t="shared" si="28"/>
        <v>432.1</v>
      </c>
      <c r="M158" s="43">
        <f t="shared" si="29"/>
        <v>0.86420000000000008</v>
      </c>
      <c r="N158" s="57">
        <f t="shared" si="30"/>
        <v>0</v>
      </c>
      <c r="O158" s="57">
        <f t="shared" si="31"/>
        <v>0</v>
      </c>
      <c r="P158" s="57">
        <f t="shared" si="32"/>
        <v>0</v>
      </c>
    </row>
    <row r="159" spans="2:16" ht="25.5">
      <c r="B159" s="62" t="s">
        <v>886</v>
      </c>
      <c r="C159" s="50" t="s">
        <v>66</v>
      </c>
      <c r="D159" s="50" t="s">
        <v>312</v>
      </c>
      <c r="E159" s="50" t="s">
        <v>315</v>
      </c>
      <c r="F159" s="50" t="s">
        <v>20</v>
      </c>
      <c r="G159" s="204">
        <v>10</v>
      </c>
      <c r="H159" s="204">
        <v>0</v>
      </c>
      <c r="I159" s="212">
        <f t="shared" si="38"/>
        <v>0</v>
      </c>
      <c r="J159" s="42">
        <v>1</v>
      </c>
      <c r="K159" s="43">
        <f t="shared" si="27"/>
        <v>10</v>
      </c>
      <c r="L159" s="43">
        <f t="shared" si="28"/>
        <v>0</v>
      </c>
      <c r="M159" s="43">
        <f t="shared" si="29"/>
        <v>0</v>
      </c>
      <c r="N159" s="57">
        <f t="shared" si="30"/>
        <v>0</v>
      </c>
      <c r="O159" s="57">
        <f t="shared" si="31"/>
        <v>0</v>
      </c>
      <c r="P159" s="57">
        <f t="shared" si="32"/>
        <v>0</v>
      </c>
    </row>
    <row r="160" spans="2:16" ht="25.5">
      <c r="B160" s="62" t="s">
        <v>887</v>
      </c>
      <c r="C160" s="50" t="s">
        <v>66</v>
      </c>
      <c r="D160" s="50" t="s">
        <v>312</v>
      </c>
      <c r="E160" s="50" t="s">
        <v>647</v>
      </c>
      <c r="F160" s="50" t="s">
        <v>20</v>
      </c>
      <c r="G160" s="204">
        <f>215-214</f>
        <v>1</v>
      </c>
      <c r="H160" s="204">
        <v>0</v>
      </c>
      <c r="I160" s="212">
        <f t="shared" si="38"/>
        <v>0</v>
      </c>
      <c r="J160" s="42">
        <v>1</v>
      </c>
      <c r="K160" s="43">
        <f t="shared" si="27"/>
        <v>1</v>
      </c>
      <c r="L160" s="43">
        <f t="shared" si="28"/>
        <v>0</v>
      </c>
      <c r="M160" s="43">
        <f t="shared" si="29"/>
        <v>0</v>
      </c>
      <c r="N160" s="57">
        <f t="shared" si="30"/>
        <v>0</v>
      </c>
      <c r="O160" s="57">
        <f t="shared" si="31"/>
        <v>0</v>
      </c>
      <c r="P160" s="57">
        <f t="shared" si="32"/>
        <v>0</v>
      </c>
    </row>
    <row r="161" spans="2:16">
      <c r="B161" s="62" t="s">
        <v>703</v>
      </c>
      <c r="C161" s="50" t="s">
        <v>66</v>
      </c>
      <c r="D161" s="50" t="s">
        <v>312</v>
      </c>
      <c r="E161" s="50" t="s">
        <v>648</v>
      </c>
      <c r="F161" s="50" t="s">
        <v>20</v>
      </c>
      <c r="G161" s="204">
        <v>120</v>
      </c>
      <c r="H161" s="204">
        <v>119.5</v>
      </c>
      <c r="I161" s="212">
        <f t="shared" si="38"/>
        <v>0.99583333333333335</v>
      </c>
      <c r="J161" s="42">
        <v>1</v>
      </c>
      <c r="K161" s="43">
        <f t="shared" si="27"/>
        <v>120</v>
      </c>
      <c r="L161" s="43">
        <f t="shared" si="28"/>
        <v>119.5</v>
      </c>
      <c r="M161" s="43">
        <f t="shared" si="29"/>
        <v>0.99583333333333335</v>
      </c>
      <c r="N161" s="57">
        <f t="shared" si="30"/>
        <v>0</v>
      </c>
      <c r="O161" s="57">
        <f t="shared" si="31"/>
        <v>0</v>
      </c>
      <c r="P161" s="57">
        <f t="shared" si="32"/>
        <v>0</v>
      </c>
    </row>
    <row r="162" spans="2:16">
      <c r="B162" s="62" t="s">
        <v>704</v>
      </c>
      <c r="C162" s="50" t="s">
        <v>66</v>
      </c>
      <c r="D162" s="50" t="s">
        <v>312</v>
      </c>
      <c r="E162" s="50" t="s">
        <v>521</v>
      </c>
      <c r="F162" s="50" t="s">
        <v>20</v>
      </c>
      <c r="G162" s="204">
        <f>150-149</f>
        <v>1</v>
      </c>
      <c r="H162" s="204">
        <v>0</v>
      </c>
      <c r="I162" s="212">
        <f t="shared" si="38"/>
        <v>0</v>
      </c>
      <c r="J162" s="42">
        <v>1</v>
      </c>
      <c r="K162" s="43">
        <f t="shared" si="27"/>
        <v>1</v>
      </c>
      <c r="L162" s="43">
        <f t="shared" si="28"/>
        <v>0</v>
      </c>
      <c r="M162" s="43">
        <f t="shared" si="29"/>
        <v>0</v>
      </c>
      <c r="N162" s="57">
        <f t="shared" si="30"/>
        <v>0</v>
      </c>
      <c r="O162" s="57">
        <f t="shared" si="31"/>
        <v>0</v>
      </c>
      <c r="P162" s="57">
        <f t="shared" si="32"/>
        <v>0</v>
      </c>
    </row>
    <row r="163" spans="2:16" ht="30.75" customHeight="1">
      <c r="B163" s="62" t="s">
        <v>889</v>
      </c>
      <c r="C163" s="50" t="s">
        <v>66</v>
      </c>
      <c r="D163" s="50" t="s">
        <v>312</v>
      </c>
      <c r="E163" s="50" t="s">
        <v>591</v>
      </c>
      <c r="F163" s="50" t="s">
        <v>20</v>
      </c>
      <c r="G163" s="204">
        <v>50</v>
      </c>
      <c r="H163" s="204">
        <v>10.9</v>
      </c>
      <c r="I163" s="212">
        <f t="shared" si="38"/>
        <v>0.218</v>
      </c>
      <c r="J163" s="42">
        <v>1</v>
      </c>
      <c r="K163" s="43">
        <f t="shared" si="27"/>
        <v>50</v>
      </c>
      <c r="L163" s="43">
        <f t="shared" si="28"/>
        <v>10.9</v>
      </c>
      <c r="M163" s="43">
        <f t="shared" si="29"/>
        <v>0.218</v>
      </c>
      <c r="N163" s="57">
        <f t="shared" si="30"/>
        <v>0</v>
      </c>
      <c r="O163" s="57">
        <f t="shared" si="31"/>
        <v>0</v>
      </c>
      <c r="P163" s="57">
        <f t="shared" si="32"/>
        <v>0</v>
      </c>
    </row>
    <row r="164" spans="2:16">
      <c r="B164" s="14" t="s">
        <v>90</v>
      </c>
      <c r="C164" s="11" t="s">
        <v>66</v>
      </c>
      <c r="D164" s="11" t="s">
        <v>91</v>
      </c>
      <c r="E164" s="50"/>
      <c r="F164" s="50"/>
      <c r="G164" s="203">
        <f>G172+G175+G165+G183+G185+G180</f>
        <v>844</v>
      </c>
      <c r="H164" s="203">
        <v>530.9</v>
      </c>
      <c r="I164" s="207">
        <f t="shared" si="38"/>
        <v>0.6290284360189573</v>
      </c>
      <c r="J164" s="42"/>
      <c r="K164" s="43">
        <f t="shared" si="27"/>
        <v>0</v>
      </c>
      <c r="L164" s="43">
        <f t="shared" si="28"/>
        <v>0</v>
      </c>
      <c r="M164" s="43">
        <f t="shared" si="29"/>
        <v>0</v>
      </c>
      <c r="N164" s="57">
        <f t="shared" si="30"/>
        <v>0</v>
      </c>
      <c r="O164" s="57">
        <f t="shared" si="31"/>
        <v>0</v>
      </c>
      <c r="P164" s="57">
        <f t="shared" si="32"/>
        <v>0</v>
      </c>
    </row>
    <row r="165" spans="2:16" s="6" customFormat="1" ht="25.5">
      <c r="B165" s="14" t="s">
        <v>439</v>
      </c>
      <c r="C165" s="11" t="s">
        <v>66</v>
      </c>
      <c r="D165" s="11" t="s">
        <v>91</v>
      </c>
      <c r="E165" s="11" t="s">
        <v>146</v>
      </c>
      <c r="F165" s="11"/>
      <c r="G165" s="203">
        <f>G166</f>
        <v>116.5</v>
      </c>
      <c r="H165" s="203">
        <v>89.8</v>
      </c>
      <c r="I165" s="207">
        <f t="shared" si="38"/>
        <v>0.77081545064377677</v>
      </c>
      <c r="J165" s="13"/>
      <c r="K165" s="43">
        <f t="shared" si="27"/>
        <v>0</v>
      </c>
      <c r="L165" s="43">
        <f t="shared" si="28"/>
        <v>0</v>
      </c>
      <c r="M165" s="43">
        <f t="shared" si="29"/>
        <v>0</v>
      </c>
      <c r="N165" s="57">
        <f t="shared" si="30"/>
        <v>0</v>
      </c>
      <c r="O165" s="57">
        <f t="shared" si="31"/>
        <v>0</v>
      </c>
      <c r="P165" s="57">
        <f t="shared" si="32"/>
        <v>0</v>
      </c>
    </row>
    <row r="166" spans="2:16">
      <c r="B166" s="15" t="s">
        <v>19</v>
      </c>
      <c r="C166" s="50" t="s">
        <v>66</v>
      </c>
      <c r="D166" s="50" t="s">
        <v>91</v>
      </c>
      <c r="E166" s="50" t="s">
        <v>147</v>
      </c>
      <c r="F166" s="50" t="s">
        <v>20</v>
      </c>
      <c r="G166" s="204">
        <f>G167+G168+G169+G170+G171</f>
        <v>116.5</v>
      </c>
      <c r="H166" s="204">
        <v>89.8</v>
      </c>
      <c r="I166" s="212">
        <f t="shared" si="38"/>
        <v>0.77081545064377677</v>
      </c>
      <c r="J166" s="42"/>
      <c r="K166" s="43">
        <f t="shared" si="27"/>
        <v>0</v>
      </c>
      <c r="L166" s="43">
        <f t="shared" si="28"/>
        <v>0</v>
      </c>
      <c r="M166" s="43">
        <f t="shared" si="29"/>
        <v>0</v>
      </c>
      <c r="N166" s="57">
        <f t="shared" si="30"/>
        <v>0</v>
      </c>
      <c r="O166" s="57">
        <f t="shared" si="31"/>
        <v>0</v>
      </c>
      <c r="P166" s="57">
        <f t="shared" si="32"/>
        <v>0</v>
      </c>
    </row>
    <row r="167" spans="2:16" hidden="1">
      <c r="B167" s="15" t="s">
        <v>458</v>
      </c>
      <c r="C167" s="50" t="s">
        <v>66</v>
      </c>
      <c r="D167" s="50" t="s">
        <v>91</v>
      </c>
      <c r="E167" s="50" t="s">
        <v>293</v>
      </c>
      <c r="F167" s="50" t="s">
        <v>20</v>
      </c>
      <c r="G167" s="204">
        <v>0</v>
      </c>
      <c r="H167" s="117"/>
      <c r="I167" s="212" t="e">
        <f t="shared" si="38"/>
        <v>#DIV/0!</v>
      </c>
      <c r="J167" s="42">
        <v>1</v>
      </c>
      <c r="K167" s="43">
        <f t="shared" si="27"/>
        <v>0</v>
      </c>
      <c r="L167" s="43">
        <f t="shared" si="28"/>
        <v>0</v>
      </c>
      <c r="M167" s="43" t="e">
        <f t="shared" si="29"/>
        <v>#DIV/0!</v>
      </c>
      <c r="N167" s="57">
        <f t="shared" si="30"/>
        <v>0</v>
      </c>
      <c r="O167" s="57">
        <f t="shared" si="31"/>
        <v>0</v>
      </c>
      <c r="P167" s="57">
        <f t="shared" si="32"/>
        <v>0</v>
      </c>
    </row>
    <row r="168" spans="2:16">
      <c r="B168" s="15" t="s">
        <v>287</v>
      </c>
      <c r="C168" s="50" t="s">
        <v>66</v>
      </c>
      <c r="D168" s="50" t="s">
        <v>91</v>
      </c>
      <c r="E168" s="50" t="s">
        <v>294</v>
      </c>
      <c r="F168" s="50" t="s">
        <v>128</v>
      </c>
      <c r="G168" s="204">
        <f>7-4.5</f>
        <v>2.5</v>
      </c>
      <c r="H168" s="117">
        <v>2.5</v>
      </c>
      <c r="I168" s="212">
        <f t="shared" si="38"/>
        <v>1</v>
      </c>
      <c r="J168" s="42">
        <v>1</v>
      </c>
      <c r="K168" s="43">
        <f t="shared" si="27"/>
        <v>2.5</v>
      </c>
      <c r="L168" s="43">
        <f t="shared" si="28"/>
        <v>2.5</v>
      </c>
      <c r="M168" s="43">
        <f t="shared" si="29"/>
        <v>1</v>
      </c>
      <c r="N168" s="57">
        <f t="shared" si="30"/>
        <v>0</v>
      </c>
      <c r="O168" s="57">
        <f t="shared" si="31"/>
        <v>0</v>
      </c>
      <c r="P168" s="57">
        <f t="shared" si="32"/>
        <v>0</v>
      </c>
    </row>
    <row r="169" spans="2:16">
      <c r="B169" s="15" t="s">
        <v>286</v>
      </c>
      <c r="C169" s="50" t="s">
        <v>66</v>
      </c>
      <c r="D169" s="50" t="s">
        <v>91</v>
      </c>
      <c r="E169" s="50" t="s">
        <v>295</v>
      </c>
      <c r="F169" s="50" t="s">
        <v>128</v>
      </c>
      <c r="G169" s="204">
        <f>77-2</f>
        <v>75</v>
      </c>
      <c r="H169" s="117">
        <v>75</v>
      </c>
      <c r="I169" s="212">
        <f t="shared" si="38"/>
        <v>1</v>
      </c>
      <c r="J169" s="42">
        <v>1</v>
      </c>
      <c r="K169" s="43">
        <f t="shared" si="27"/>
        <v>75</v>
      </c>
      <c r="L169" s="43">
        <f t="shared" si="28"/>
        <v>75</v>
      </c>
      <c r="M169" s="43">
        <f t="shared" si="29"/>
        <v>1</v>
      </c>
      <c r="N169" s="57">
        <f t="shared" si="30"/>
        <v>0</v>
      </c>
      <c r="O169" s="57">
        <f t="shared" si="31"/>
        <v>0</v>
      </c>
      <c r="P169" s="57">
        <f t="shared" si="32"/>
        <v>0</v>
      </c>
    </row>
    <row r="170" spans="2:16">
      <c r="B170" s="15" t="s">
        <v>288</v>
      </c>
      <c r="C170" s="50" t="s">
        <v>66</v>
      </c>
      <c r="D170" s="50" t="s">
        <v>91</v>
      </c>
      <c r="E170" s="50" t="s">
        <v>296</v>
      </c>
      <c r="F170" s="50" t="s">
        <v>20</v>
      </c>
      <c r="G170" s="204">
        <f>119-80</f>
        <v>39</v>
      </c>
      <c r="H170" s="117">
        <v>12.3</v>
      </c>
      <c r="I170" s="212">
        <f t="shared" si="38"/>
        <v>0.31538461538461543</v>
      </c>
      <c r="J170" s="42">
        <v>1</v>
      </c>
      <c r="K170" s="43">
        <f t="shared" si="27"/>
        <v>39</v>
      </c>
      <c r="L170" s="43">
        <f t="shared" si="28"/>
        <v>12.3</v>
      </c>
      <c r="M170" s="43">
        <f t="shared" si="29"/>
        <v>0.31538461538461543</v>
      </c>
      <c r="N170" s="57">
        <f t="shared" si="30"/>
        <v>0</v>
      </c>
      <c r="O170" s="57">
        <f t="shared" si="31"/>
        <v>0</v>
      </c>
      <c r="P170" s="57">
        <f t="shared" si="32"/>
        <v>0</v>
      </c>
    </row>
    <row r="171" spans="2:16" hidden="1">
      <c r="B171" s="15" t="s">
        <v>289</v>
      </c>
      <c r="C171" s="50" t="s">
        <v>66</v>
      </c>
      <c r="D171" s="50" t="s">
        <v>91</v>
      </c>
      <c r="E171" s="50" t="s">
        <v>457</v>
      </c>
      <c r="F171" s="50" t="s">
        <v>20</v>
      </c>
      <c r="G171" s="204">
        <v>0</v>
      </c>
      <c r="H171" s="117">
        <v>0</v>
      </c>
      <c r="I171" s="207" t="e">
        <f t="shared" si="38"/>
        <v>#DIV/0!</v>
      </c>
      <c r="J171" s="42">
        <v>1</v>
      </c>
      <c r="K171" s="43">
        <f t="shared" si="27"/>
        <v>0</v>
      </c>
      <c r="L171" s="43">
        <f t="shared" si="28"/>
        <v>0</v>
      </c>
      <c r="M171" s="43" t="e">
        <f t="shared" si="29"/>
        <v>#DIV/0!</v>
      </c>
      <c r="N171" s="57">
        <f t="shared" si="30"/>
        <v>0</v>
      </c>
      <c r="O171" s="57">
        <f t="shared" si="31"/>
        <v>0</v>
      </c>
      <c r="P171" s="57">
        <f t="shared" si="32"/>
        <v>0</v>
      </c>
    </row>
    <row r="172" spans="2:16" s="6" customFormat="1" ht="38.25">
      <c r="B172" s="60" t="s">
        <v>440</v>
      </c>
      <c r="C172" s="11" t="s">
        <v>66</v>
      </c>
      <c r="D172" s="11" t="s">
        <v>91</v>
      </c>
      <c r="E172" s="11" t="s">
        <v>299</v>
      </c>
      <c r="F172" s="11"/>
      <c r="G172" s="203">
        <f>G173</f>
        <v>7.5</v>
      </c>
      <c r="H172" s="203">
        <v>0.6</v>
      </c>
      <c r="I172" s="207">
        <f t="shared" si="38"/>
        <v>0.08</v>
      </c>
      <c r="J172" s="13"/>
      <c r="K172" s="43">
        <f t="shared" si="27"/>
        <v>0</v>
      </c>
      <c r="L172" s="43">
        <f t="shared" si="28"/>
        <v>0</v>
      </c>
      <c r="M172" s="43">
        <f t="shared" si="29"/>
        <v>0</v>
      </c>
      <c r="N172" s="57">
        <f t="shared" si="30"/>
        <v>0</v>
      </c>
      <c r="O172" s="57">
        <f t="shared" si="31"/>
        <v>0</v>
      </c>
      <c r="P172" s="57">
        <f t="shared" si="32"/>
        <v>0</v>
      </c>
    </row>
    <row r="173" spans="2:16">
      <c r="B173" s="15" t="s">
        <v>19</v>
      </c>
      <c r="C173" s="50" t="s">
        <v>66</v>
      </c>
      <c r="D173" s="50" t="s">
        <v>91</v>
      </c>
      <c r="E173" s="50" t="s">
        <v>276</v>
      </c>
      <c r="F173" s="50"/>
      <c r="G173" s="204">
        <f>G174</f>
        <v>7.5</v>
      </c>
      <c r="H173" s="204">
        <v>0.6</v>
      </c>
      <c r="I173" s="212">
        <f t="shared" si="38"/>
        <v>0.08</v>
      </c>
      <c r="J173" s="42"/>
      <c r="K173" s="43">
        <f t="shared" si="27"/>
        <v>0</v>
      </c>
      <c r="L173" s="43">
        <f t="shared" si="28"/>
        <v>0</v>
      </c>
      <c r="M173" s="43">
        <f t="shared" si="29"/>
        <v>0</v>
      </c>
      <c r="N173" s="57">
        <f t="shared" si="30"/>
        <v>0</v>
      </c>
      <c r="O173" s="57">
        <f t="shared" si="31"/>
        <v>0</v>
      </c>
      <c r="P173" s="57">
        <f t="shared" si="32"/>
        <v>0</v>
      </c>
    </row>
    <row r="174" spans="2:16" ht="25.5">
      <c r="B174" s="61" t="s">
        <v>449</v>
      </c>
      <c r="C174" s="50" t="s">
        <v>66</v>
      </c>
      <c r="D174" s="50" t="s">
        <v>91</v>
      </c>
      <c r="E174" s="50" t="s">
        <v>277</v>
      </c>
      <c r="F174" s="50" t="s">
        <v>20</v>
      </c>
      <c r="G174" s="204">
        <v>7.5</v>
      </c>
      <c r="H174" s="204">
        <v>0.6</v>
      </c>
      <c r="I174" s="212">
        <f t="shared" si="38"/>
        <v>0.08</v>
      </c>
      <c r="J174" s="42">
        <v>1</v>
      </c>
      <c r="K174" s="43">
        <f t="shared" si="27"/>
        <v>7.5</v>
      </c>
      <c r="L174" s="43">
        <f t="shared" si="28"/>
        <v>0.6</v>
      </c>
      <c r="M174" s="43">
        <f t="shared" si="29"/>
        <v>0.08</v>
      </c>
      <c r="N174" s="57">
        <f t="shared" si="30"/>
        <v>0</v>
      </c>
      <c r="O174" s="57">
        <f t="shared" si="31"/>
        <v>0</v>
      </c>
      <c r="P174" s="57">
        <f t="shared" si="32"/>
        <v>0</v>
      </c>
    </row>
    <row r="175" spans="2:16" s="6" customFormat="1" ht="38.25">
      <c r="B175" s="74" t="s">
        <v>780</v>
      </c>
      <c r="C175" s="11" t="s">
        <v>66</v>
      </c>
      <c r="D175" s="11" t="s">
        <v>91</v>
      </c>
      <c r="E175" s="11" t="s">
        <v>690</v>
      </c>
      <c r="F175" s="11"/>
      <c r="G175" s="203">
        <f>G176</f>
        <v>720</v>
      </c>
      <c r="H175" s="203">
        <v>440.5</v>
      </c>
      <c r="I175" s="207">
        <f t="shared" si="38"/>
        <v>0.6118055555555556</v>
      </c>
      <c r="J175" s="13"/>
      <c r="K175" s="43">
        <f t="shared" si="27"/>
        <v>0</v>
      </c>
      <c r="L175" s="43">
        <f t="shared" si="28"/>
        <v>0</v>
      </c>
      <c r="M175" s="43">
        <f t="shared" si="29"/>
        <v>0</v>
      </c>
      <c r="N175" s="57">
        <f t="shared" si="30"/>
        <v>0</v>
      </c>
      <c r="O175" s="57">
        <f t="shared" si="31"/>
        <v>0</v>
      </c>
      <c r="P175" s="57">
        <f t="shared" si="32"/>
        <v>0</v>
      </c>
    </row>
    <row r="176" spans="2:16">
      <c r="B176" s="15" t="s">
        <v>19</v>
      </c>
      <c r="C176" s="50" t="s">
        <v>66</v>
      </c>
      <c r="D176" s="50" t="s">
        <v>91</v>
      </c>
      <c r="E176" s="50" t="s">
        <v>283</v>
      </c>
      <c r="F176" s="50" t="s">
        <v>20</v>
      </c>
      <c r="G176" s="204">
        <f>G177+G178+G179</f>
        <v>720</v>
      </c>
      <c r="H176" s="204">
        <v>440.5</v>
      </c>
      <c r="I176" s="212">
        <f t="shared" si="38"/>
        <v>0.6118055555555556</v>
      </c>
      <c r="J176" s="42"/>
      <c r="K176" s="43">
        <f t="shared" si="27"/>
        <v>0</v>
      </c>
      <c r="L176" s="43">
        <f t="shared" si="28"/>
        <v>0</v>
      </c>
      <c r="M176" s="43">
        <f t="shared" si="29"/>
        <v>0</v>
      </c>
      <c r="N176" s="57">
        <f t="shared" si="30"/>
        <v>0</v>
      </c>
      <c r="O176" s="57">
        <f t="shared" si="31"/>
        <v>0</v>
      </c>
      <c r="P176" s="57">
        <f t="shared" si="32"/>
        <v>0</v>
      </c>
    </row>
    <row r="177" spans="1:16">
      <c r="B177" s="15" t="s">
        <v>709</v>
      </c>
      <c r="C177" s="50" t="s">
        <v>66</v>
      </c>
      <c r="D177" s="50" t="s">
        <v>91</v>
      </c>
      <c r="E177" s="50" t="s">
        <v>284</v>
      </c>
      <c r="F177" s="50" t="s">
        <v>20</v>
      </c>
      <c r="G177" s="204">
        <v>200</v>
      </c>
      <c r="H177" s="204">
        <v>194</v>
      </c>
      <c r="I177" s="212">
        <f t="shared" si="38"/>
        <v>0.97</v>
      </c>
      <c r="J177" s="42">
        <v>1</v>
      </c>
      <c r="K177" s="43">
        <f t="shared" ref="K177:K254" si="39">SUMIF(J177,1,G177)</f>
        <v>200</v>
      </c>
      <c r="L177" s="43">
        <f t="shared" ref="L177:L254" si="40">SUMIF(J177,1,H177)</f>
        <v>194</v>
      </c>
      <c r="M177" s="43">
        <f t="shared" ref="M177:M254" si="41">SUMIF(J177,1,I177)</f>
        <v>0.97</v>
      </c>
      <c r="N177" s="57">
        <f t="shared" ref="N177:N254" si="42">SUMIF(J177,2,G177)</f>
        <v>0</v>
      </c>
      <c r="O177" s="57">
        <f t="shared" ref="O177:O254" si="43">SUMIF(J177,2,H177)</f>
        <v>0</v>
      </c>
      <c r="P177" s="57">
        <f t="shared" ref="P177:P254" si="44">SUMIF(J177,2,I177)</f>
        <v>0</v>
      </c>
    </row>
    <row r="178" spans="1:16">
      <c r="B178" s="15" t="s">
        <v>710</v>
      </c>
      <c r="C178" s="50" t="s">
        <v>66</v>
      </c>
      <c r="D178" s="50" t="s">
        <v>91</v>
      </c>
      <c r="E178" s="50" t="s">
        <v>285</v>
      </c>
      <c r="F178" s="50" t="s">
        <v>20</v>
      </c>
      <c r="G178" s="204">
        <v>480</v>
      </c>
      <c r="H178" s="204">
        <v>219.7</v>
      </c>
      <c r="I178" s="212">
        <f t="shared" si="38"/>
        <v>0.45770833333333333</v>
      </c>
      <c r="J178" s="42">
        <v>1</v>
      </c>
      <c r="K178" s="43">
        <f t="shared" si="39"/>
        <v>480</v>
      </c>
      <c r="L178" s="43">
        <f t="shared" si="40"/>
        <v>219.7</v>
      </c>
      <c r="M178" s="43">
        <f t="shared" si="41"/>
        <v>0.45770833333333333</v>
      </c>
      <c r="N178" s="57">
        <f t="shared" si="42"/>
        <v>0</v>
      </c>
      <c r="O178" s="57">
        <f t="shared" si="43"/>
        <v>0</v>
      </c>
      <c r="P178" s="57">
        <f t="shared" si="44"/>
        <v>0</v>
      </c>
    </row>
    <row r="179" spans="1:16">
      <c r="B179" s="15" t="s">
        <v>711</v>
      </c>
      <c r="C179" s="50" t="s">
        <v>66</v>
      </c>
      <c r="D179" s="50" t="s">
        <v>91</v>
      </c>
      <c r="E179" s="50" t="s">
        <v>649</v>
      </c>
      <c r="F179" s="50" t="s">
        <v>20</v>
      </c>
      <c r="G179" s="204">
        <v>40</v>
      </c>
      <c r="H179" s="204">
        <v>26.8</v>
      </c>
      <c r="I179" s="212">
        <f t="shared" si="38"/>
        <v>0.67</v>
      </c>
      <c r="J179" s="42">
        <v>1</v>
      </c>
      <c r="K179" s="43">
        <f t="shared" si="39"/>
        <v>40</v>
      </c>
      <c r="L179" s="43">
        <f t="shared" si="40"/>
        <v>26.8</v>
      </c>
      <c r="M179" s="43">
        <f t="shared" si="41"/>
        <v>0.67</v>
      </c>
      <c r="N179" s="57">
        <f t="shared" si="42"/>
        <v>0</v>
      </c>
      <c r="O179" s="57">
        <f t="shared" si="43"/>
        <v>0</v>
      </c>
      <c r="P179" s="57">
        <f t="shared" si="44"/>
        <v>0</v>
      </c>
    </row>
    <row r="180" spans="1:16" s="137" customFormat="1" ht="38.25" hidden="1">
      <c r="B180" s="14" t="s">
        <v>864</v>
      </c>
      <c r="C180" s="50" t="s">
        <v>66</v>
      </c>
      <c r="D180" s="50" t="s">
        <v>91</v>
      </c>
      <c r="E180" s="11" t="s">
        <v>668</v>
      </c>
      <c r="F180" s="50"/>
      <c r="G180" s="204">
        <f>G181</f>
        <v>0</v>
      </c>
      <c r="H180" s="204">
        <v>0</v>
      </c>
      <c r="I180" s="207" t="e">
        <f t="shared" si="38"/>
        <v>#DIV/0!</v>
      </c>
      <c r="J180" s="138"/>
      <c r="K180" s="148">
        <f t="shared" si="39"/>
        <v>0</v>
      </c>
      <c r="L180" s="148">
        <f t="shared" si="40"/>
        <v>0</v>
      </c>
      <c r="M180" s="148">
        <f t="shared" si="41"/>
        <v>0</v>
      </c>
      <c r="N180" s="149">
        <f t="shared" si="42"/>
        <v>0</v>
      </c>
      <c r="O180" s="149">
        <f t="shared" si="43"/>
        <v>0</v>
      </c>
      <c r="P180" s="149">
        <f t="shared" si="44"/>
        <v>0</v>
      </c>
    </row>
    <row r="181" spans="1:16" s="137" customFormat="1" hidden="1">
      <c r="B181" s="15" t="s">
        <v>19</v>
      </c>
      <c r="C181" s="50" t="s">
        <v>66</v>
      </c>
      <c r="D181" s="50" t="s">
        <v>91</v>
      </c>
      <c r="E181" s="50" t="s">
        <v>668</v>
      </c>
      <c r="F181" s="50" t="s">
        <v>20</v>
      </c>
      <c r="G181" s="204">
        <f>SUM(G182:G182)</f>
        <v>0</v>
      </c>
      <c r="H181" s="204">
        <v>0</v>
      </c>
      <c r="I181" s="207" t="e">
        <f t="shared" si="38"/>
        <v>#DIV/0!</v>
      </c>
      <c r="J181" s="138"/>
      <c r="K181" s="148">
        <f t="shared" si="39"/>
        <v>0</v>
      </c>
      <c r="L181" s="148">
        <f t="shared" si="40"/>
        <v>0</v>
      </c>
      <c r="M181" s="148">
        <f t="shared" si="41"/>
        <v>0</v>
      </c>
      <c r="N181" s="149">
        <f t="shared" si="42"/>
        <v>0</v>
      </c>
      <c r="O181" s="149">
        <f t="shared" si="43"/>
        <v>0</v>
      </c>
      <c r="P181" s="149">
        <f t="shared" si="44"/>
        <v>0</v>
      </c>
    </row>
    <row r="182" spans="1:16" s="137" customFormat="1" ht="25.5" hidden="1">
      <c r="B182" s="62" t="s">
        <v>799</v>
      </c>
      <c r="C182" s="50" t="s">
        <v>66</v>
      </c>
      <c r="D182" s="50" t="s">
        <v>91</v>
      </c>
      <c r="E182" s="50" t="s">
        <v>721</v>
      </c>
      <c r="F182" s="50" t="s">
        <v>20</v>
      </c>
      <c r="G182" s="204">
        <v>0</v>
      </c>
      <c r="H182" s="204">
        <v>0</v>
      </c>
      <c r="I182" s="207" t="e">
        <f t="shared" si="38"/>
        <v>#DIV/0!</v>
      </c>
      <c r="J182" s="138">
        <v>1</v>
      </c>
      <c r="K182" s="148">
        <f t="shared" si="39"/>
        <v>0</v>
      </c>
      <c r="L182" s="148">
        <f t="shared" si="40"/>
        <v>0</v>
      </c>
      <c r="M182" s="148" t="e">
        <f t="shared" si="41"/>
        <v>#DIV/0!</v>
      </c>
      <c r="N182" s="149">
        <f t="shared" si="42"/>
        <v>0</v>
      </c>
      <c r="O182" s="149">
        <f t="shared" si="43"/>
        <v>0</v>
      </c>
      <c r="P182" s="149">
        <f t="shared" si="44"/>
        <v>0</v>
      </c>
    </row>
    <row r="183" spans="1:16" ht="25.5" hidden="1">
      <c r="A183" s="4" t="s">
        <v>573</v>
      </c>
      <c r="B183" s="15" t="s">
        <v>574</v>
      </c>
      <c r="C183" s="50" t="s">
        <v>66</v>
      </c>
      <c r="D183" s="50" t="s">
        <v>91</v>
      </c>
      <c r="E183" s="50" t="s">
        <v>575</v>
      </c>
      <c r="F183" s="50"/>
      <c r="G183" s="204">
        <f>G184</f>
        <v>0</v>
      </c>
      <c r="H183" s="204"/>
      <c r="I183" s="207" t="e">
        <f t="shared" si="38"/>
        <v>#DIV/0!</v>
      </c>
      <c r="J183" s="42"/>
      <c r="K183" s="43">
        <f t="shared" si="39"/>
        <v>0</v>
      </c>
      <c r="L183" s="43">
        <f t="shared" si="40"/>
        <v>0</v>
      </c>
      <c r="M183" s="43">
        <f t="shared" si="41"/>
        <v>0</v>
      </c>
      <c r="N183" s="57">
        <f t="shared" si="42"/>
        <v>0</v>
      </c>
      <c r="O183" s="57">
        <f t="shared" si="43"/>
        <v>0</v>
      </c>
      <c r="P183" s="57">
        <f t="shared" si="44"/>
        <v>0</v>
      </c>
    </row>
    <row r="184" spans="1:16" hidden="1">
      <c r="B184" s="15" t="s">
        <v>19</v>
      </c>
      <c r="C184" s="50" t="s">
        <v>66</v>
      </c>
      <c r="D184" s="50" t="s">
        <v>91</v>
      </c>
      <c r="E184" s="50" t="s">
        <v>575</v>
      </c>
      <c r="F184" s="50" t="s">
        <v>20</v>
      </c>
      <c r="G184" s="204">
        <v>0</v>
      </c>
      <c r="H184" s="204"/>
      <c r="I184" s="207" t="e">
        <f t="shared" si="38"/>
        <v>#DIV/0!</v>
      </c>
      <c r="J184" s="42">
        <v>1</v>
      </c>
      <c r="K184" s="43">
        <f t="shared" si="39"/>
        <v>0</v>
      </c>
      <c r="L184" s="43">
        <f t="shared" si="40"/>
        <v>0</v>
      </c>
      <c r="M184" s="43" t="e">
        <f t="shared" si="41"/>
        <v>#DIV/0!</v>
      </c>
      <c r="N184" s="57">
        <f t="shared" si="42"/>
        <v>0</v>
      </c>
      <c r="O184" s="57">
        <f t="shared" si="43"/>
        <v>0</v>
      </c>
      <c r="P184" s="57">
        <f t="shared" si="44"/>
        <v>0</v>
      </c>
    </row>
    <row r="185" spans="1:16" hidden="1">
      <c r="B185" s="15" t="s">
        <v>612</v>
      </c>
      <c r="C185" s="50" t="s">
        <v>66</v>
      </c>
      <c r="D185" s="50" t="s">
        <v>91</v>
      </c>
      <c r="E185" s="50" t="s">
        <v>611</v>
      </c>
      <c r="F185" s="50"/>
      <c r="G185" s="204">
        <f>G186</f>
        <v>0</v>
      </c>
      <c r="H185" s="204"/>
      <c r="I185" s="207" t="e">
        <f t="shared" si="38"/>
        <v>#DIV/0!</v>
      </c>
      <c r="J185" s="42"/>
      <c r="K185" s="43">
        <f t="shared" si="39"/>
        <v>0</v>
      </c>
      <c r="L185" s="43">
        <f t="shared" si="40"/>
        <v>0</v>
      </c>
      <c r="M185" s="43">
        <f t="shared" si="41"/>
        <v>0</v>
      </c>
      <c r="N185" s="57">
        <f t="shared" si="42"/>
        <v>0</v>
      </c>
      <c r="O185" s="57">
        <f t="shared" si="43"/>
        <v>0</v>
      </c>
      <c r="P185" s="57">
        <f t="shared" si="44"/>
        <v>0</v>
      </c>
    </row>
    <row r="186" spans="1:16" hidden="1">
      <c r="B186" s="15" t="s">
        <v>19</v>
      </c>
      <c r="C186" s="50" t="s">
        <v>66</v>
      </c>
      <c r="D186" s="50" t="s">
        <v>91</v>
      </c>
      <c r="E186" s="50" t="s">
        <v>611</v>
      </c>
      <c r="F186" s="50" t="s">
        <v>20</v>
      </c>
      <c r="G186" s="204">
        <v>0</v>
      </c>
      <c r="H186" s="204"/>
      <c r="I186" s="207" t="e">
        <f t="shared" si="38"/>
        <v>#DIV/0!</v>
      </c>
      <c r="J186" s="42">
        <v>1</v>
      </c>
      <c r="K186" s="43">
        <f t="shared" si="39"/>
        <v>0</v>
      </c>
      <c r="L186" s="43">
        <f t="shared" si="40"/>
        <v>0</v>
      </c>
      <c r="M186" s="43" t="e">
        <f t="shared" si="41"/>
        <v>#DIV/0!</v>
      </c>
      <c r="N186" s="57">
        <f t="shared" si="42"/>
        <v>0</v>
      </c>
      <c r="O186" s="57">
        <f t="shared" si="43"/>
        <v>0</v>
      </c>
      <c r="P186" s="57">
        <f t="shared" si="44"/>
        <v>0</v>
      </c>
    </row>
    <row r="187" spans="1:16">
      <c r="B187" s="14" t="s">
        <v>94</v>
      </c>
      <c r="C187" s="11" t="s">
        <v>66</v>
      </c>
      <c r="D187" s="11" t="s">
        <v>74</v>
      </c>
      <c r="E187" s="11"/>
      <c r="F187" s="11"/>
      <c r="G187" s="203">
        <f>G188+G249</f>
        <v>105783.30000000002</v>
      </c>
      <c r="H187" s="203">
        <v>104165.7</v>
      </c>
      <c r="I187" s="207">
        <f t="shared" si="38"/>
        <v>0.98470836133869888</v>
      </c>
      <c r="J187" s="42"/>
      <c r="K187" s="43">
        <f t="shared" si="39"/>
        <v>0</v>
      </c>
      <c r="L187" s="43">
        <f t="shared" si="40"/>
        <v>0</v>
      </c>
      <c r="M187" s="43">
        <f t="shared" si="41"/>
        <v>0</v>
      </c>
      <c r="N187" s="57">
        <f t="shared" si="42"/>
        <v>0</v>
      </c>
      <c r="O187" s="57">
        <f t="shared" si="43"/>
        <v>0</v>
      </c>
      <c r="P187" s="57">
        <f t="shared" si="44"/>
        <v>0</v>
      </c>
    </row>
    <row r="188" spans="1:16">
      <c r="B188" s="14" t="s">
        <v>93</v>
      </c>
      <c r="C188" s="11" t="s">
        <v>66</v>
      </c>
      <c r="D188" s="11" t="s">
        <v>39</v>
      </c>
      <c r="E188" s="11"/>
      <c r="F188" s="11"/>
      <c r="G188" s="203">
        <f>G189+G234+G205+G216+G229</f>
        <v>97986.500000000015</v>
      </c>
      <c r="H188" s="203">
        <v>96368.9</v>
      </c>
      <c r="I188" s="207">
        <f t="shared" si="38"/>
        <v>0.98349160343516684</v>
      </c>
      <c r="J188" s="42"/>
      <c r="K188" s="43">
        <f t="shared" si="39"/>
        <v>0</v>
      </c>
      <c r="L188" s="43">
        <f t="shared" si="40"/>
        <v>0</v>
      </c>
      <c r="M188" s="43">
        <f t="shared" si="41"/>
        <v>0</v>
      </c>
      <c r="N188" s="57">
        <f t="shared" si="42"/>
        <v>0</v>
      </c>
      <c r="O188" s="57">
        <f t="shared" si="43"/>
        <v>0</v>
      </c>
      <c r="P188" s="57">
        <f t="shared" si="44"/>
        <v>0</v>
      </c>
    </row>
    <row r="189" spans="1:16" s="6" customFormat="1" ht="34.5" customHeight="1">
      <c r="B189" s="74" t="s">
        <v>897</v>
      </c>
      <c r="C189" s="11" t="s">
        <v>66</v>
      </c>
      <c r="D189" s="11" t="s">
        <v>39</v>
      </c>
      <c r="E189" s="11" t="s">
        <v>446</v>
      </c>
      <c r="F189" s="11"/>
      <c r="G189" s="203">
        <f>SUM(G190:G191)</f>
        <v>68742.8</v>
      </c>
      <c r="H189" s="203">
        <v>68456.800000000003</v>
      </c>
      <c r="I189" s="207">
        <f t="shared" si="38"/>
        <v>0.99583956428891462</v>
      </c>
      <c r="J189" s="13"/>
      <c r="K189" s="43">
        <f t="shared" si="39"/>
        <v>0</v>
      </c>
      <c r="L189" s="43">
        <f t="shared" si="40"/>
        <v>0</v>
      </c>
      <c r="M189" s="43">
        <f t="shared" si="41"/>
        <v>0</v>
      </c>
      <c r="N189" s="57">
        <f t="shared" si="42"/>
        <v>0</v>
      </c>
      <c r="O189" s="57">
        <f t="shared" si="43"/>
        <v>0</v>
      </c>
      <c r="P189" s="57">
        <f t="shared" si="44"/>
        <v>0</v>
      </c>
    </row>
    <row r="190" spans="1:16" s="6" customFormat="1" ht="15" customHeight="1">
      <c r="B190" s="15" t="s">
        <v>19</v>
      </c>
      <c r="C190" s="50" t="s">
        <v>66</v>
      </c>
      <c r="D190" s="50" t="s">
        <v>39</v>
      </c>
      <c r="E190" s="50" t="s">
        <v>446</v>
      </c>
      <c r="F190" s="50" t="s">
        <v>20</v>
      </c>
      <c r="G190" s="204">
        <f>G192+G193+G194+G198+G199+G200+G201+G202+G203+G204</f>
        <v>2933</v>
      </c>
      <c r="H190" s="204">
        <v>2648</v>
      </c>
      <c r="I190" s="212">
        <f t="shared" si="38"/>
        <v>0.9028298670303444</v>
      </c>
      <c r="J190" s="13"/>
      <c r="K190" s="43">
        <f t="shared" si="39"/>
        <v>0</v>
      </c>
      <c r="L190" s="43">
        <f t="shared" si="40"/>
        <v>0</v>
      </c>
      <c r="M190" s="43">
        <f t="shared" si="41"/>
        <v>0</v>
      </c>
      <c r="N190" s="57">
        <f t="shared" si="42"/>
        <v>0</v>
      </c>
      <c r="O190" s="57">
        <f t="shared" si="43"/>
        <v>0</v>
      </c>
      <c r="P190" s="57">
        <f t="shared" si="44"/>
        <v>0</v>
      </c>
    </row>
    <row r="191" spans="1:16" s="6" customFormat="1" ht="15" customHeight="1">
      <c r="B191" s="15" t="s">
        <v>542</v>
      </c>
      <c r="C191" s="50" t="s">
        <v>66</v>
      </c>
      <c r="D191" s="50" t="s">
        <v>39</v>
      </c>
      <c r="E191" s="50" t="s">
        <v>446</v>
      </c>
      <c r="F191" s="50" t="s">
        <v>265</v>
      </c>
      <c r="G191" s="204">
        <f>G195+G196+G197</f>
        <v>65809.8</v>
      </c>
      <c r="H191" s="204">
        <v>65808.800000000003</v>
      </c>
      <c r="I191" s="212">
        <f t="shared" si="38"/>
        <v>0.99998480469474149</v>
      </c>
      <c r="J191" s="13"/>
      <c r="K191" s="43">
        <f t="shared" si="39"/>
        <v>0</v>
      </c>
      <c r="L191" s="43">
        <f t="shared" si="40"/>
        <v>0</v>
      </c>
      <c r="M191" s="43">
        <f t="shared" si="41"/>
        <v>0</v>
      </c>
      <c r="N191" s="57">
        <f t="shared" si="42"/>
        <v>0</v>
      </c>
      <c r="O191" s="57">
        <f t="shared" si="43"/>
        <v>0</v>
      </c>
      <c r="P191" s="57">
        <f t="shared" si="44"/>
        <v>0</v>
      </c>
    </row>
    <row r="192" spans="1:16" ht="25.5">
      <c r="B192" s="15" t="s">
        <v>726</v>
      </c>
      <c r="C192" s="50" t="s">
        <v>66</v>
      </c>
      <c r="D192" s="50" t="s">
        <v>39</v>
      </c>
      <c r="E192" s="50" t="s">
        <v>447</v>
      </c>
      <c r="F192" s="50" t="s">
        <v>20</v>
      </c>
      <c r="G192" s="204">
        <f>550-549</f>
        <v>1</v>
      </c>
      <c r="H192" s="204">
        <v>0</v>
      </c>
      <c r="I192" s="212">
        <f t="shared" si="38"/>
        <v>0</v>
      </c>
      <c r="J192" s="42">
        <v>1</v>
      </c>
      <c r="K192" s="43">
        <f t="shared" si="39"/>
        <v>1</v>
      </c>
      <c r="L192" s="43">
        <f t="shared" si="40"/>
        <v>0</v>
      </c>
      <c r="M192" s="43">
        <f t="shared" si="41"/>
        <v>0</v>
      </c>
      <c r="N192" s="57">
        <f t="shared" si="42"/>
        <v>0</v>
      </c>
      <c r="O192" s="57">
        <f t="shared" si="43"/>
        <v>0</v>
      </c>
      <c r="P192" s="57">
        <f t="shared" si="44"/>
        <v>0</v>
      </c>
    </row>
    <row r="193" spans="2:16" ht="25.5">
      <c r="B193" s="15" t="s">
        <v>727</v>
      </c>
      <c r="C193" s="50" t="s">
        <v>66</v>
      </c>
      <c r="D193" s="50" t="s">
        <v>39</v>
      </c>
      <c r="E193" s="50" t="s">
        <v>448</v>
      </c>
      <c r="F193" s="50" t="s">
        <v>20</v>
      </c>
      <c r="G193" s="204">
        <f>450-51-398</f>
        <v>1</v>
      </c>
      <c r="H193" s="204">
        <v>0</v>
      </c>
      <c r="I193" s="212">
        <f t="shared" si="38"/>
        <v>0</v>
      </c>
      <c r="J193" s="42">
        <v>1</v>
      </c>
      <c r="K193" s="43">
        <f t="shared" si="39"/>
        <v>1</v>
      </c>
      <c r="L193" s="43">
        <f t="shared" si="40"/>
        <v>0</v>
      </c>
      <c r="M193" s="43">
        <f t="shared" si="41"/>
        <v>0</v>
      </c>
      <c r="N193" s="57">
        <f t="shared" si="42"/>
        <v>0</v>
      </c>
      <c r="O193" s="57">
        <f t="shared" si="43"/>
        <v>0</v>
      </c>
      <c r="P193" s="57">
        <f t="shared" si="44"/>
        <v>0</v>
      </c>
    </row>
    <row r="194" spans="2:16" ht="25.5" hidden="1">
      <c r="B194" s="15" t="s">
        <v>620</v>
      </c>
      <c r="C194" s="50" t="s">
        <v>66</v>
      </c>
      <c r="D194" s="50" t="s">
        <v>39</v>
      </c>
      <c r="E194" s="50" t="s">
        <v>565</v>
      </c>
      <c r="F194" s="50" t="s">
        <v>20</v>
      </c>
      <c r="G194" s="204">
        <v>0</v>
      </c>
      <c r="H194" s="204"/>
      <c r="I194" s="212" t="e">
        <f t="shared" si="38"/>
        <v>#DIV/0!</v>
      </c>
      <c r="J194" s="42">
        <v>1</v>
      </c>
      <c r="K194" s="43">
        <f t="shared" si="39"/>
        <v>0</v>
      </c>
      <c r="L194" s="43">
        <f t="shared" si="40"/>
        <v>0</v>
      </c>
      <c r="M194" s="43" t="e">
        <f t="shared" si="41"/>
        <v>#DIV/0!</v>
      </c>
      <c r="N194" s="57">
        <f t="shared" si="42"/>
        <v>0</v>
      </c>
      <c r="O194" s="57">
        <f t="shared" si="43"/>
        <v>0</v>
      </c>
      <c r="P194" s="57">
        <f t="shared" si="44"/>
        <v>0</v>
      </c>
    </row>
    <row r="195" spans="2:16" ht="25.5">
      <c r="B195" s="15" t="s">
        <v>923</v>
      </c>
      <c r="C195" s="50" t="s">
        <v>66</v>
      </c>
      <c r="D195" s="50" t="s">
        <v>39</v>
      </c>
      <c r="E195" s="50" t="s">
        <v>621</v>
      </c>
      <c r="F195" s="50" t="s">
        <v>265</v>
      </c>
      <c r="G195" s="204">
        <v>1</v>
      </c>
      <c r="H195" s="204">
        <v>0</v>
      </c>
      <c r="I195" s="212">
        <f t="shared" si="38"/>
        <v>0</v>
      </c>
      <c r="J195" s="42">
        <v>1</v>
      </c>
      <c r="K195" s="43">
        <f t="shared" si="39"/>
        <v>1</v>
      </c>
      <c r="L195" s="43">
        <f t="shared" si="40"/>
        <v>0</v>
      </c>
      <c r="M195" s="43">
        <f t="shared" si="41"/>
        <v>0</v>
      </c>
      <c r="N195" s="57">
        <f t="shared" si="42"/>
        <v>0</v>
      </c>
      <c r="O195" s="57">
        <f t="shared" si="43"/>
        <v>0</v>
      </c>
      <c r="P195" s="57">
        <f t="shared" si="44"/>
        <v>0</v>
      </c>
    </row>
    <row r="196" spans="2:16" ht="29.25" customHeight="1">
      <c r="B196" s="15" t="s">
        <v>935</v>
      </c>
      <c r="C196" s="50" t="s">
        <v>66</v>
      </c>
      <c r="D196" s="50" t="s">
        <v>39</v>
      </c>
      <c r="E196" s="50" t="s">
        <v>936</v>
      </c>
      <c r="F196" s="50" t="s">
        <v>265</v>
      </c>
      <c r="G196" s="204">
        <f>37831.9+617.7+26660.7+435.3</f>
        <v>65545.600000000006</v>
      </c>
      <c r="H196" s="204">
        <v>65545.600000000006</v>
      </c>
      <c r="I196" s="212">
        <f t="shared" si="38"/>
        <v>1</v>
      </c>
      <c r="J196" s="42"/>
      <c r="K196" s="43"/>
      <c r="L196" s="43"/>
      <c r="M196" s="43"/>
      <c r="N196" s="57"/>
      <c r="O196" s="57"/>
      <c r="P196" s="57"/>
    </row>
    <row r="197" spans="2:16" ht="25.5">
      <c r="B197" s="15" t="s">
        <v>934</v>
      </c>
      <c r="C197" s="50" t="s">
        <v>66</v>
      </c>
      <c r="D197" s="50" t="s">
        <v>39</v>
      </c>
      <c r="E197" s="50" t="s">
        <v>936</v>
      </c>
      <c r="F197" s="50" t="s">
        <v>265</v>
      </c>
      <c r="G197" s="204">
        <f>154.4+108.8</f>
        <v>263.2</v>
      </c>
      <c r="H197" s="204">
        <v>263.2</v>
      </c>
      <c r="I197" s="212">
        <f t="shared" si="38"/>
        <v>1</v>
      </c>
      <c r="J197" s="42"/>
      <c r="K197" s="43"/>
      <c r="L197" s="43"/>
      <c r="M197" s="43"/>
      <c r="N197" s="57"/>
      <c r="O197" s="57"/>
      <c r="P197" s="57"/>
    </row>
    <row r="198" spans="2:16" ht="25.5" hidden="1">
      <c r="B198" s="15" t="s">
        <v>728</v>
      </c>
      <c r="C198" s="50" t="s">
        <v>66</v>
      </c>
      <c r="D198" s="50" t="s">
        <v>39</v>
      </c>
      <c r="E198" s="50" t="s">
        <v>650</v>
      </c>
      <c r="F198" s="50" t="s">
        <v>20</v>
      </c>
      <c r="G198" s="204">
        <v>0</v>
      </c>
      <c r="H198" s="204">
        <v>0</v>
      </c>
      <c r="I198" s="212" t="e">
        <f t="shared" si="38"/>
        <v>#DIV/0!</v>
      </c>
      <c r="J198" s="42">
        <v>1</v>
      </c>
      <c r="K198" s="43">
        <f t="shared" si="39"/>
        <v>0</v>
      </c>
      <c r="L198" s="43">
        <f t="shared" si="40"/>
        <v>0</v>
      </c>
      <c r="M198" s="43" t="e">
        <f t="shared" si="41"/>
        <v>#DIV/0!</v>
      </c>
      <c r="N198" s="57">
        <f t="shared" si="42"/>
        <v>0</v>
      </c>
      <c r="O198" s="57">
        <f t="shared" si="43"/>
        <v>0</v>
      </c>
      <c r="P198" s="57">
        <f t="shared" si="44"/>
        <v>0</v>
      </c>
    </row>
    <row r="199" spans="2:16" ht="25.5" hidden="1">
      <c r="B199" s="15" t="s">
        <v>729</v>
      </c>
      <c r="C199" s="50" t="s">
        <v>66</v>
      </c>
      <c r="D199" s="50" t="s">
        <v>39</v>
      </c>
      <c r="E199" s="50" t="s">
        <v>651</v>
      </c>
      <c r="F199" s="50" t="s">
        <v>20</v>
      </c>
      <c r="G199" s="204">
        <v>0</v>
      </c>
      <c r="H199" s="204">
        <v>0</v>
      </c>
      <c r="I199" s="212" t="e">
        <f t="shared" si="38"/>
        <v>#DIV/0!</v>
      </c>
      <c r="J199" s="42">
        <v>1</v>
      </c>
      <c r="K199" s="43">
        <f t="shared" si="39"/>
        <v>0</v>
      </c>
      <c r="L199" s="43">
        <f t="shared" si="40"/>
        <v>0</v>
      </c>
      <c r="M199" s="43" t="e">
        <f t="shared" si="41"/>
        <v>#DIV/0!</v>
      </c>
      <c r="N199" s="57">
        <f t="shared" si="42"/>
        <v>0</v>
      </c>
      <c r="O199" s="57">
        <f t="shared" si="43"/>
        <v>0</v>
      </c>
      <c r="P199" s="57">
        <f t="shared" si="44"/>
        <v>0</v>
      </c>
    </row>
    <row r="200" spans="2:16" ht="25.5" hidden="1">
      <c r="B200" s="15" t="s">
        <v>730</v>
      </c>
      <c r="C200" s="50" t="s">
        <v>66</v>
      </c>
      <c r="D200" s="50" t="s">
        <v>39</v>
      </c>
      <c r="E200" s="50" t="s">
        <v>652</v>
      </c>
      <c r="F200" s="50" t="s">
        <v>20</v>
      </c>
      <c r="G200" s="204">
        <v>0</v>
      </c>
      <c r="H200" s="204">
        <v>0</v>
      </c>
      <c r="I200" s="212" t="e">
        <f t="shared" si="38"/>
        <v>#DIV/0!</v>
      </c>
      <c r="J200" s="42">
        <v>1</v>
      </c>
      <c r="K200" s="43">
        <f t="shared" si="39"/>
        <v>0</v>
      </c>
      <c r="L200" s="43">
        <f t="shared" si="40"/>
        <v>0</v>
      </c>
      <c r="M200" s="43" t="e">
        <f t="shared" si="41"/>
        <v>#DIV/0!</v>
      </c>
      <c r="N200" s="57">
        <f t="shared" si="42"/>
        <v>0</v>
      </c>
      <c r="O200" s="57">
        <f t="shared" si="43"/>
        <v>0</v>
      </c>
      <c r="P200" s="57">
        <f t="shared" si="44"/>
        <v>0</v>
      </c>
    </row>
    <row r="201" spans="2:16">
      <c r="B201" s="62" t="s">
        <v>876</v>
      </c>
      <c r="C201" s="50" t="s">
        <v>66</v>
      </c>
      <c r="D201" s="50" t="s">
        <v>39</v>
      </c>
      <c r="E201" s="50" t="s">
        <v>878</v>
      </c>
      <c r="F201" s="50" t="s">
        <v>20</v>
      </c>
      <c r="G201" s="204">
        <f>2100-3</f>
        <v>2097</v>
      </c>
      <c r="H201" s="204">
        <v>2097</v>
      </c>
      <c r="I201" s="212">
        <f t="shared" si="38"/>
        <v>1</v>
      </c>
      <c r="J201" s="42"/>
      <c r="K201" s="43"/>
      <c r="L201" s="43"/>
      <c r="M201" s="43"/>
      <c r="N201" s="57"/>
      <c r="O201" s="57"/>
      <c r="P201" s="57"/>
    </row>
    <row r="202" spans="2:16">
      <c r="B202" s="62" t="s">
        <v>877</v>
      </c>
      <c r="C202" s="50" t="s">
        <v>66</v>
      </c>
      <c r="D202" s="50" t="s">
        <v>39</v>
      </c>
      <c r="E202" s="50" t="s">
        <v>878</v>
      </c>
      <c r="F202" s="50" t="s">
        <v>20</v>
      </c>
      <c r="G202" s="204">
        <f>210+24</f>
        <v>234</v>
      </c>
      <c r="H202" s="204">
        <v>233</v>
      </c>
      <c r="I202" s="212">
        <f t="shared" si="38"/>
        <v>0.99572649572649574</v>
      </c>
      <c r="J202" s="42"/>
      <c r="K202" s="43"/>
      <c r="L202" s="43"/>
      <c r="M202" s="43"/>
      <c r="N202" s="57"/>
      <c r="O202" s="57"/>
      <c r="P202" s="57"/>
    </row>
    <row r="203" spans="2:16" ht="38.25">
      <c r="B203" s="62" t="s">
        <v>898</v>
      </c>
      <c r="C203" s="50" t="s">
        <v>66</v>
      </c>
      <c r="D203" s="50" t="s">
        <v>39</v>
      </c>
      <c r="E203" s="50" t="s">
        <v>900</v>
      </c>
      <c r="F203" s="50" t="s">
        <v>20</v>
      </c>
      <c r="G203" s="204">
        <v>450</v>
      </c>
      <c r="H203" s="204">
        <v>318</v>
      </c>
      <c r="I203" s="212">
        <f t="shared" si="38"/>
        <v>0.70666666666666667</v>
      </c>
      <c r="J203" s="42"/>
      <c r="K203" s="43"/>
      <c r="L203" s="43"/>
      <c r="M203" s="43"/>
      <c r="N203" s="57"/>
      <c r="O203" s="57"/>
      <c r="P203" s="57"/>
    </row>
    <row r="204" spans="2:16" ht="25.5">
      <c r="B204" s="62" t="s">
        <v>899</v>
      </c>
      <c r="C204" s="50" t="s">
        <v>66</v>
      </c>
      <c r="D204" s="50" t="s">
        <v>39</v>
      </c>
      <c r="E204" s="50" t="s">
        <v>901</v>
      </c>
      <c r="F204" s="50" t="s">
        <v>20</v>
      </c>
      <c r="G204" s="204">
        <v>150</v>
      </c>
      <c r="H204" s="204">
        <v>0</v>
      </c>
      <c r="I204" s="207">
        <f t="shared" si="38"/>
        <v>0</v>
      </c>
      <c r="J204" s="42"/>
      <c r="K204" s="43"/>
      <c r="L204" s="43"/>
      <c r="M204" s="43"/>
      <c r="N204" s="57"/>
      <c r="O204" s="57"/>
      <c r="P204" s="57"/>
    </row>
    <row r="205" spans="2:16" s="6" customFormat="1" ht="25.5">
      <c r="B205" s="14" t="s">
        <v>495</v>
      </c>
      <c r="C205" s="11" t="s">
        <v>66</v>
      </c>
      <c r="D205" s="11" t="s">
        <v>39</v>
      </c>
      <c r="E205" s="11" t="s">
        <v>414</v>
      </c>
      <c r="F205" s="11"/>
      <c r="G205" s="203">
        <f>G206+G210+G214</f>
        <v>399</v>
      </c>
      <c r="H205" s="203">
        <v>399</v>
      </c>
      <c r="I205" s="207">
        <f t="shared" si="38"/>
        <v>1</v>
      </c>
      <c r="J205" s="13"/>
      <c r="K205" s="43">
        <f t="shared" si="39"/>
        <v>0</v>
      </c>
      <c r="L205" s="43">
        <f t="shared" si="40"/>
        <v>0</v>
      </c>
      <c r="M205" s="43">
        <f t="shared" si="41"/>
        <v>0</v>
      </c>
      <c r="N205" s="57">
        <f t="shared" si="42"/>
        <v>0</v>
      </c>
      <c r="O205" s="57">
        <f t="shared" si="43"/>
        <v>0</v>
      </c>
      <c r="P205" s="57">
        <f t="shared" si="44"/>
        <v>0</v>
      </c>
    </row>
    <row r="206" spans="2:16" ht="39" hidden="1" customHeight="1">
      <c r="B206" s="15" t="s">
        <v>498</v>
      </c>
      <c r="C206" s="50" t="s">
        <v>66</v>
      </c>
      <c r="D206" s="50" t="s">
        <v>39</v>
      </c>
      <c r="E206" s="50" t="s">
        <v>417</v>
      </c>
      <c r="F206" s="50"/>
      <c r="G206" s="204">
        <f>SUM(G207:G209)</f>
        <v>0</v>
      </c>
      <c r="H206" s="204">
        <v>0</v>
      </c>
      <c r="I206" s="207" t="e">
        <f t="shared" si="38"/>
        <v>#DIV/0!</v>
      </c>
      <c r="J206" s="42"/>
      <c r="K206" s="43">
        <f t="shared" si="39"/>
        <v>0</v>
      </c>
      <c r="L206" s="43">
        <f t="shared" si="40"/>
        <v>0</v>
      </c>
      <c r="M206" s="43">
        <f t="shared" si="41"/>
        <v>0</v>
      </c>
      <c r="N206" s="57">
        <f t="shared" si="42"/>
        <v>0</v>
      </c>
      <c r="O206" s="57">
        <f t="shared" si="43"/>
        <v>0</v>
      </c>
      <c r="P206" s="57">
        <f t="shared" si="44"/>
        <v>0</v>
      </c>
    </row>
    <row r="207" spans="2:16" ht="25.5" hidden="1">
      <c r="B207" s="15" t="s">
        <v>387</v>
      </c>
      <c r="C207" s="50" t="s">
        <v>66</v>
      </c>
      <c r="D207" s="50" t="s">
        <v>39</v>
      </c>
      <c r="E207" s="50" t="s">
        <v>409</v>
      </c>
      <c r="F207" s="50" t="s">
        <v>265</v>
      </c>
      <c r="G207" s="204">
        <v>0</v>
      </c>
      <c r="H207" s="204">
        <v>0</v>
      </c>
      <c r="I207" s="207" t="e">
        <f t="shared" si="38"/>
        <v>#DIV/0!</v>
      </c>
      <c r="J207" s="42">
        <v>1</v>
      </c>
      <c r="K207" s="43">
        <f t="shared" si="39"/>
        <v>0</v>
      </c>
      <c r="L207" s="43">
        <f t="shared" si="40"/>
        <v>0</v>
      </c>
      <c r="M207" s="43" t="e">
        <f t="shared" si="41"/>
        <v>#DIV/0!</v>
      </c>
      <c r="N207" s="57">
        <f t="shared" si="42"/>
        <v>0</v>
      </c>
      <c r="O207" s="57">
        <f t="shared" si="43"/>
        <v>0</v>
      </c>
      <c r="P207" s="57">
        <f t="shared" si="44"/>
        <v>0</v>
      </c>
    </row>
    <row r="208" spans="2:16" ht="25.5" hidden="1">
      <c r="B208" s="15" t="s">
        <v>388</v>
      </c>
      <c r="C208" s="50" t="s">
        <v>66</v>
      </c>
      <c r="D208" s="50" t="s">
        <v>39</v>
      </c>
      <c r="E208" s="50" t="s">
        <v>639</v>
      </c>
      <c r="F208" s="50" t="s">
        <v>265</v>
      </c>
      <c r="G208" s="204">
        <v>0</v>
      </c>
      <c r="H208" s="204">
        <v>0</v>
      </c>
      <c r="I208" s="207" t="e">
        <f t="shared" si="38"/>
        <v>#DIV/0!</v>
      </c>
      <c r="J208" s="42">
        <v>2</v>
      </c>
      <c r="K208" s="43">
        <f t="shared" si="39"/>
        <v>0</v>
      </c>
      <c r="L208" s="43">
        <f t="shared" si="40"/>
        <v>0</v>
      </c>
      <c r="M208" s="43">
        <f t="shared" si="41"/>
        <v>0</v>
      </c>
      <c r="N208" s="57">
        <f t="shared" si="42"/>
        <v>0</v>
      </c>
      <c r="O208" s="57">
        <f t="shared" si="43"/>
        <v>0</v>
      </c>
      <c r="P208" s="57" t="e">
        <f t="shared" si="44"/>
        <v>#DIV/0!</v>
      </c>
    </row>
    <row r="209" spans="2:16" ht="25.5" hidden="1">
      <c r="B209" s="15" t="s">
        <v>387</v>
      </c>
      <c r="C209" s="50" t="s">
        <v>66</v>
      </c>
      <c r="D209" s="50" t="s">
        <v>39</v>
      </c>
      <c r="E209" s="50" t="s">
        <v>639</v>
      </c>
      <c r="F209" s="50" t="s">
        <v>265</v>
      </c>
      <c r="G209" s="204">
        <v>0</v>
      </c>
      <c r="H209" s="204">
        <v>0</v>
      </c>
      <c r="I209" s="207" t="e">
        <f t="shared" si="38"/>
        <v>#DIV/0!</v>
      </c>
      <c r="J209" s="42">
        <v>1</v>
      </c>
      <c r="K209" s="43">
        <f t="shared" si="39"/>
        <v>0</v>
      </c>
      <c r="L209" s="43">
        <f t="shared" si="40"/>
        <v>0</v>
      </c>
      <c r="M209" s="43" t="e">
        <f t="shared" si="41"/>
        <v>#DIV/0!</v>
      </c>
      <c r="N209" s="57">
        <f t="shared" si="42"/>
        <v>0</v>
      </c>
      <c r="O209" s="57">
        <f t="shared" si="43"/>
        <v>0</v>
      </c>
      <c r="P209" s="57">
        <f t="shared" si="44"/>
        <v>0</v>
      </c>
    </row>
    <row r="210" spans="2:16" ht="25.5" hidden="1">
      <c r="B210" s="15" t="s">
        <v>515</v>
      </c>
      <c r="C210" s="50" t="s">
        <v>66</v>
      </c>
      <c r="D210" s="50" t="s">
        <v>39</v>
      </c>
      <c r="E210" s="50" t="s">
        <v>508</v>
      </c>
      <c r="F210" s="50"/>
      <c r="G210" s="204">
        <f>G211</f>
        <v>0</v>
      </c>
      <c r="H210" s="204">
        <v>0</v>
      </c>
      <c r="I210" s="207" t="e">
        <f t="shared" si="38"/>
        <v>#DIV/0!</v>
      </c>
      <c r="J210" s="42"/>
      <c r="K210" s="43">
        <f t="shared" si="39"/>
        <v>0</v>
      </c>
      <c r="L210" s="43">
        <f t="shared" si="40"/>
        <v>0</v>
      </c>
      <c r="M210" s="43">
        <f t="shared" si="41"/>
        <v>0</v>
      </c>
      <c r="N210" s="57">
        <f t="shared" si="42"/>
        <v>0</v>
      </c>
      <c r="O210" s="57">
        <f t="shared" si="43"/>
        <v>0</v>
      </c>
      <c r="P210" s="57">
        <f t="shared" si="44"/>
        <v>0</v>
      </c>
    </row>
    <row r="211" spans="2:16" hidden="1">
      <c r="B211" s="15" t="s">
        <v>19</v>
      </c>
      <c r="C211" s="50" t="s">
        <v>66</v>
      </c>
      <c r="D211" s="50" t="s">
        <v>39</v>
      </c>
      <c r="E211" s="50" t="s">
        <v>507</v>
      </c>
      <c r="F211" s="50" t="s">
        <v>20</v>
      </c>
      <c r="G211" s="204">
        <v>0</v>
      </c>
      <c r="H211" s="204">
        <v>0</v>
      </c>
      <c r="I211" s="207" t="e">
        <f t="shared" si="38"/>
        <v>#DIV/0!</v>
      </c>
      <c r="J211" s="42">
        <v>1</v>
      </c>
      <c r="K211" s="43">
        <f t="shared" si="39"/>
        <v>0</v>
      </c>
      <c r="L211" s="43">
        <f t="shared" si="40"/>
        <v>0</v>
      </c>
      <c r="M211" s="43" t="e">
        <f t="shared" si="41"/>
        <v>#DIV/0!</v>
      </c>
      <c r="N211" s="57">
        <f t="shared" si="42"/>
        <v>0</v>
      </c>
      <c r="O211" s="57">
        <f t="shared" si="43"/>
        <v>0</v>
      </c>
      <c r="P211" s="57">
        <f t="shared" si="44"/>
        <v>0</v>
      </c>
    </row>
    <row r="212" spans="2:16" hidden="1">
      <c r="B212" s="62" t="s">
        <v>876</v>
      </c>
      <c r="C212" s="50" t="s">
        <v>66</v>
      </c>
      <c r="D212" s="50" t="s">
        <v>39</v>
      </c>
      <c r="E212" s="50" t="s">
        <v>878</v>
      </c>
      <c r="F212" s="50" t="s">
        <v>20</v>
      </c>
      <c r="G212" s="204">
        <v>0</v>
      </c>
      <c r="H212" s="204"/>
      <c r="I212" s="207" t="e">
        <f t="shared" si="38"/>
        <v>#DIV/0!</v>
      </c>
      <c r="J212" s="42"/>
      <c r="K212" s="43"/>
      <c r="L212" s="43"/>
      <c r="M212" s="43"/>
      <c r="N212" s="57"/>
      <c r="O212" s="57"/>
      <c r="P212" s="57"/>
    </row>
    <row r="213" spans="2:16" hidden="1">
      <c r="B213" s="62" t="s">
        <v>877</v>
      </c>
      <c r="C213" s="50" t="s">
        <v>66</v>
      </c>
      <c r="D213" s="50" t="s">
        <v>39</v>
      </c>
      <c r="E213" s="50" t="s">
        <v>878</v>
      </c>
      <c r="F213" s="50" t="s">
        <v>20</v>
      </c>
      <c r="G213" s="204">
        <v>0</v>
      </c>
      <c r="H213" s="204"/>
      <c r="I213" s="207" t="e">
        <f t="shared" si="38"/>
        <v>#DIV/0!</v>
      </c>
      <c r="J213" s="42"/>
      <c r="K213" s="43"/>
      <c r="L213" s="43"/>
      <c r="M213" s="43"/>
      <c r="N213" s="57"/>
      <c r="O213" s="57"/>
      <c r="P213" s="57"/>
    </row>
    <row r="214" spans="2:16" ht="38.25">
      <c r="B214" s="62" t="s">
        <v>890</v>
      </c>
      <c r="C214" s="50" t="s">
        <v>66</v>
      </c>
      <c r="D214" s="50" t="s">
        <v>39</v>
      </c>
      <c r="E214" s="50" t="s">
        <v>891</v>
      </c>
      <c r="F214" s="50"/>
      <c r="G214" s="204">
        <f>G215</f>
        <v>399</v>
      </c>
      <c r="H214" s="204">
        <v>399</v>
      </c>
      <c r="I214" s="212">
        <f t="shared" si="38"/>
        <v>1</v>
      </c>
      <c r="J214" s="42"/>
      <c r="K214" s="43"/>
      <c r="L214" s="43"/>
      <c r="M214" s="43"/>
      <c r="N214" s="57"/>
      <c r="O214" s="57"/>
      <c r="P214" s="57"/>
    </row>
    <row r="215" spans="2:16">
      <c r="B215" s="15" t="s">
        <v>19</v>
      </c>
      <c r="C215" s="50" t="s">
        <v>66</v>
      </c>
      <c r="D215" s="50" t="s">
        <v>39</v>
      </c>
      <c r="E215" s="50" t="s">
        <v>891</v>
      </c>
      <c r="F215" s="50" t="s">
        <v>20</v>
      </c>
      <c r="G215" s="204">
        <f>510-111</f>
        <v>399</v>
      </c>
      <c r="H215" s="204">
        <v>399</v>
      </c>
      <c r="I215" s="212">
        <f t="shared" si="38"/>
        <v>1</v>
      </c>
      <c r="J215" s="42"/>
      <c r="K215" s="43"/>
      <c r="L215" s="43"/>
      <c r="M215" s="43"/>
      <c r="N215" s="57"/>
      <c r="O215" s="57"/>
      <c r="P215" s="57"/>
    </row>
    <row r="216" spans="2:16" ht="14.25" customHeight="1">
      <c r="B216" s="101" t="s">
        <v>731</v>
      </c>
      <c r="C216" s="11" t="s">
        <v>66</v>
      </c>
      <c r="D216" s="11" t="s">
        <v>39</v>
      </c>
      <c r="E216" s="11" t="s">
        <v>526</v>
      </c>
      <c r="F216" s="11"/>
      <c r="G216" s="203">
        <f>G217+G223+G224+G225+G226+G227+G228</f>
        <v>25208.600000000002</v>
      </c>
      <c r="H216" s="203">
        <v>24357</v>
      </c>
      <c r="I216" s="207">
        <f t="shared" si="38"/>
        <v>0.96621787802575299</v>
      </c>
      <c r="J216" s="42"/>
      <c r="K216" s="43">
        <f t="shared" si="39"/>
        <v>0</v>
      </c>
      <c r="L216" s="43">
        <f t="shared" si="40"/>
        <v>0</v>
      </c>
      <c r="M216" s="43">
        <f t="shared" si="41"/>
        <v>0</v>
      </c>
      <c r="N216" s="57">
        <f t="shared" si="42"/>
        <v>0</v>
      </c>
      <c r="O216" s="57">
        <f t="shared" si="43"/>
        <v>0</v>
      </c>
      <c r="P216" s="57">
        <f t="shared" si="44"/>
        <v>0</v>
      </c>
    </row>
    <row r="217" spans="2:16" ht="55.5" customHeight="1">
      <c r="B217" s="16" t="s">
        <v>732</v>
      </c>
      <c r="C217" s="50" t="s">
        <v>66</v>
      </c>
      <c r="D217" s="50" t="s">
        <v>39</v>
      </c>
      <c r="E217" s="50" t="s">
        <v>531</v>
      </c>
      <c r="F217" s="50"/>
      <c r="G217" s="204">
        <f>G218</f>
        <v>25208.600000000002</v>
      </c>
      <c r="H217" s="204">
        <v>24357</v>
      </c>
      <c r="I217" s="212">
        <f t="shared" si="38"/>
        <v>0.96621787802575299</v>
      </c>
      <c r="J217" s="42"/>
      <c r="K217" s="43">
        <f t="shared" si="39"/>
        <v>0</v>
      </c>
      <c r="L217" s="43">
        <f t="shared" si="40"/>
        <v>0</v>
      </c>
      <c r="M217" s="43">
        <f t="shared" si="41"/>
        <v>0</v>
      </c>
      <c r="N217" s="57">
        <f t="shared" si="42"/>
        <v>0</v>
      </c>
      <c r="O217" s="57">
        <f t="shared" si="43"/>
        <v>0</v>
      </c>
      <c r="P217" s="57">
        <f t="shared" si="44"/>
        <v>0</v>
      </c>
    </row>
    <row r="218" spans="2:16" ht="13.5" customHeight="1">
      <c r="B218" s="15" t="s">
        <v>542</v>
      </c>
      <c r="C218" s="50" t="s">
        <v>66</v>
      </c>
      <c r="D218" s="50" t="s">
        <v>39</v>
      </c>
      <c r="E218" s="50" t="s">
        <v>532</v>
      </c>
      <c r="F218" s="50"/>
      <c r="G218" s="204">
        <f>G219+G220+G221</f>
        <v>25208.600000000002</v>
      </c>
      <c r="H218" s="204">
        <v>24357</v>
      </c>
      <c r="I218" s="212">
        <f t="shared" si="38"/>
        <v>0.96621787802575299</v>
      </c>
      <c r="J218" s="42"/>
      <c r="K218" s="43">
        <f t="shared" si="39"/>
        <v>0</v>
      </c>
      <c r="L218" s="43">
        <f t="shared" si="40"/>
        <v>0</v>
      </c>
      <c r="M218" s="43">
        <f t="shared" si="41"/>
        <v>0</v>
      </c>
      <c r="N218" s="57">
        <f t="shared" si="42"/>
        <v>0</v>
      </c>
      <c r="O218" s="57">
        <f t="shared" si="43"/>
        <v>0</v>
      </c>
      <c r="P218" s="57">
        <f t="shared" si="44"/>
        <v>0</v>
      </c>
    </row>
    <row r="219" spans="2:16" ht="25.5" hidden="1">
      <c r="B219" s="15" t="s">
        <v>405</v>
      </c>
      <c r="C219" s="50" t="s">
        <v>66</v>
      </c>
      <c r="D219" s="50" t="s">
        <v>39</v>
      </c>
      <c r="E219" s="50" t="s">
        <v>532</v>
      </c>
      <c r="F219" s="50" t="s">
        <v>265</v>
      </c>
      <c r="G219" s="204">
        <v>0</v>
      </c>
      <c r="H219" s="204"/>
      <c r="I219" s="212" t="e">
        <f t="shared" ref="I219:I282" si="45">H219/G219</f>
        <v>#DIV/0!</v>
      </c>
      <c r="J219" s="42">
        <v>2</v>
      </c>
      <c r="K219" s="43">
        <f t="shared" si="39"/>
        <v>0</v>
      </c>
      <c r="L219" s="43">
        <f t="shared" si="40"/>
        <v>0</v>
      </c>
      <c r="M219" s="43">
        <f t="shared" si="41"/>
        <v>0</v>
      </c>
      <c r="N219" s="57">
        <f t="shared" si="42"/>
        <v>0</v>
      </c>
      <c r="O219" s="57">
        <f t="shared" si="43"/>
        <v>0</v>
      </c>
      <c r="P219" s="57" t="e">
        <f t="shared" si="44"/>
        <v>#DIV/0!</v>
      </c>
    </row>
    <row r="220" spans="2:16" ht="25.5">
      <c r="B220" s="15" t="s">
        <v>388</v>
      </c>
      <c r="C220" s="50" t="s">
        <v>66</v>
      </c>
      <c r="D220" s="50" t="s">
        <v>39</v>
      </c>
      <c r="E220" s="50" t="s">
        <v>532</v>
      </c>
      <c r="F220" s="50" t="s">
        <v>265</v>
      </c>
      <c r="G220" s="204">
        <f>32356.4-7353.3-1197</f>
        <v>23806.100000000002</v>
      </c>
      <c r="H220" s="204">
        <v>23806.1</v>
      </c>
      <c r="I220" s="212">
        <f t="shared" si="45"/>
        <v>0.99999999999999989</v>
      </c>
      <c r="J220" s="42">
        <v>2</v>
      </c>
      <c r="K220" s="43">
        <f t="shared" si="39"/>
        <v>0</v>
      </c>
      <c r="L220" s="43">
        <f t="shared" si="40"/>
        <v>0</v>
      </c>
      <c r="M220" s="43">
        <f t="shared" si="41"/>
        <v>0</v>
      </c>
      <c r="N220" s="57">
        <f t="shared" si="42"/>
        <v>23806.100000000002</v>
      </c>
      <c r="O220" s="57">
        <f t="shared" si="43"/>
        <v>23806.1</v>
      </c>
      <c r="P220" s="57">
        <f t="shared" si="44"/>
        <v>0.99999999999999989</v>
      </c>
    </row>
    <row r="221" spans="2:16" ht="25.5">
      <c r="B221" s="15" t="s">
        <v>387</v>
      </c>
      <c r="C221" s="50" t="s">
        <v>66</v>
      </c>
      <c r="D221" s="50" t="s">
        <v>39</v>
      </c>
      <c r="E221" s="50" t="s">
        <v>532</v>
      </c>
      <c r="F221" s="50" t="s">
        <v>265</v>
      </c>
      <c r="G221" s="204">
        <f>1701.7-299.2</f>
        <v>1402.5</v>
      </c>
      <c r="H221" s="204">
        <v>550.9</v>
      </c>
      <c r="I221" s="212">
        <f t="shared" si="45"/>
        <v>0.39279857397504453</v>
      </c>
      <c r="J221" s="42">
        <v>1</v>
      </c>
      <c r="K221" s="43">
        <f t="shared" si="39"/>
        <v>1402.5</v>
      </c>
      <c r="L221" s="43">
        <f t="shared" si="40"/>
        <v>550.9</v>
      </c>
      <c r="M221" s="43">
        <f t="shared" si="41"/>
        <v>0.39279857397504453</v>
      </c>
      <c r="N221" s="57">
        <f t="shared" si="42"/>
        <v>0</v>
      </c>
      <c r="O221" s="57">
        <f t="shared" si="43"/>
        <v>0</v>
      </c>
      <c r="P221" s="57">
        <f t="shared" si="44"/>
        <v>0</v>
      </c>
    </row>
    <row r="222" spans="2:16" hidden="1">
      <c r="B222" s="15" t="s">
        <v>753</v>
      </c>
      <c r="C222" s="50" t="s">
        <v>66</v>
      </c>
      <c r="D222" s="50" t="s">
        <v>39</v>
      </c>
      <c r="E222" s="50" t="s">
        <v>526</v>
      </c>
      <c r="F222" s="50" t="s">
        <v>265</v>
      </c>
      <c r="G222" s="204">
        <f>SUM(G223:G228)</f>
        <v>0</v>
      </c>
      <c r="H222" s="204">
        <v>0</v>
      </c>
      <c r="I222" s="207" t="e">
        <f t="shared" si="45"/>
        <v>#DIV/0!</v>
      </c>
      <c r="J222" s="42"/>
      <c r="K222" s="43">
        <f t="shared" si="39"/>
        <v>0</v>
      </c>
      <c r="L222" s="43">
        <f t="shared" si="40"/>
        <v>0</v>
      </c>
      <c r="M222" s="43">
        <f t="shared" si="41"/>
        <v>0</v>
      </c>
      <c r="N222" s="57">
        <f t="shared" si="42"/>
        <v>0</v>
      </c>
      <c r="O222" s="57">
        <f t="shared" si="43"/>
        <v>0</v>
      </c>
      <c r="P222" s="57">
        <f t="shared" si="44"/>
        <v>0</v>
      </c>
    </row>
    <row r="223" spans="2:16" ht="25.5" hidden="1">
      <c r="B223" s="15" t="s">
        <v>733</v>
      </c>
      <c r="C223" s="50" t="s">
        <v>66</v>
      </c>
      <c r="D223" s="50" t="s">
        <v>39</v>
      </c>
      <c r="E223" s="50" t="s">
        <v>653</v>
      </c>
      <c r="F223" s="50" t="s">
        <v>265</v>
      </c>
      <c r="G223" s="204">
        <v>0</v>
      </c>
      <c r="H223" s="204">
        <v>0</v>
      </c>
      <c r="I223" s="207" t="e">
        <f t="shared" si="45"/>
        <v>#DIV/0!</v>
      </c>
      <c r="J223" s="42">
        <v>1</v>
      </c>
      <c r="K223" s="43">
        <f t="shared" si="39"/>
        <v>0</v>
      </c>
      <c r="L223" s="43">
        <f t="shared" si="40"/>
        <v>0</v>
      </c>
      <c r="M223" s="43" t="e">
        <f t="shared" si="41"/>
        <v>#DIV/0!</v>
      </c>
      <c r="N223" s="57">
        <f t="shared" si="42"/>
        <v>0</v>
      </c>
      <c r="O223" s="57">
        <f t="shared" si="43"/>
        <v>0</v>
      </c>
      <c r="P223" s="57">
        <f t="shared" si="44"/>
        <v>0</v>
      </c>
    </row>
    <row r="224" spans="2:16" ht="25.5" hidden="1">
      <c r="B224" s="15" t="s">
        <v>734</v>
      </c>
      <c r="C224" s="50" t="s">
        <v>66</v>
      </c>
      <c r="D224" s="50" t="s">
        <v>39</v>
      </c>
      <c r="E224" s="50" t="s">
        <v>654</v>
      </c>
      <c r="F224" s="50" t="s">
        <v>265</v>
      </c>
      <c r="G224" s="204">
        <v>0</v>
      </c>
      <c r="H224" s="204">
        <v>0</v>
      </c>
      <c r="I224" s="207" t="e">
        <f t="shared" si="45"/>
        <v>#DIV/0!</v>
      </c>
      <c r="J224" s="42">
        <v>1</v>
      </c>
      <c r="K224" s="43">
        <f t="shared" si="39"/>
        <v>0</v>
      </c>
      <c r="L224" s="43">
        <f t="shared" si="40"/>
        <v>0</v>
      </c>
      <c r="M224" s="43" t="e">
        <f t="shared" si="41"/>
        <v>#DIV/0!</v>
      </c>
      <c r="N224" s="57">
        <f t="shared" si="42"/>
        <v>0</v>
      </c>
      <c r="O224" s="57">
        <f t="shared" si="43"/>
        <v>0</v>
      </c>
      <c r="P224" s="57">
        <f t="shared" si="44"/>
        <v>0</v>
      </c>
    </row>
    <row r="225" spans="2:16" ht="25.5" hidden="1">
      <c r="B225" s="15" t="s">
        <v>735</v>
      </c>
      <c r="C225" s="50" t="s">
        <v>66</v>
      </c>
      <c r="D225" s="50" t="s">
        <v>39</v>
      </c>
      <c r="E225" s="50" t="s">
        <v>655</v>
      </c>
      <c r="F225" s="50" t="s">
        <v>265</v>
      </c>
      <c r="G225" s="204">
        <v>0</v>
      </c>
      <c r="H225" s="204">
        <v>0</v>
      </c>
      <c r="I225" s="207" t="e">
        <f t="shared" si="45"/>
        <v>#DIV/0!</v>
      </c>
      <c r="J225" s="42">
        <v>1</v>
      </c>
      <c r="K225" s="43">
        <f t="shared" si="39"/>
        <v>0</v>
      </c>
      <c r="L225" s="43">
        <f t="shared" si="40"/>
        <v>0</v>
      </c>
      <c r="M225" s="43" t="e">
        <f t="shared" si="41"/>
        <v>#DIV/0!</v>
      </c>
      <c r="N225" s="57">
        <f t="shared" si="42"/>
        <v>0</v>
      </c>
      <c r="O225" s="57">
        <f t="shared" si="43"/>
        <v>0</v>
      </c>
      <c r="P225" s="57">
        <f t="shared" si="44"/>
        <v>0</v>
      </c>
    </row>
    <row r="226" spans="2:16" ht="25.5" hidden="1">
      <c r="B226" s="15" t="s">
        <v>739</v>
      </c>
      <c r="C226" s="50" t="s">
        <v>66</v>
      </c>
      <c r="D226" s="50" t="s">
        <v>39</v>
      </c>
      <c r="E226" s="50" t="s">
        <v>660</v>
      </c>
      <c r="F226" s="50" t="s">
        <v>265</v>
      </c>
      <c r="G226" s="204">
        <v>0</v>
      </c>
      <c r="H226" s="204"/>
      <c r="I226" s="207" t="e">
        <f t="shared" si="45"/>
        <v>#DIV/0!</v>
      </c>
      <c r="J226" s="42">
        <v>1</v>
      </c>
      <c r="K226" s="43">
        <f t="shared" si="39"/>
        <v>0</v>
      </c>
      <c r="L226" s="43">
        <f t="shared" si="40"/>
        <v>0</v>
      </c>
      <c r="M226" s="43" t="e">
        <f t="shared" si="41"/>
        <v>#DIV/0!</v>
      </c>
      <c r="N226" s="57">
        <f t="shared" si="42"/>
        <v>0</v>
      </c>
      <c r="O226" s="57">
        <f t="shared" si="43"/>
        <v>0</v>
      </c>
      <c r="P226" s="57">
        <f t="shared" si="44"/>
        <v>0</v>
      </c>
    </row>
    <row r="227" spans="2:16" ht="25.5" hidden="1">
      <c r="B227" s="15" t="s">
        <v>740</v>
      </c>
      <c r="C227" s="50" t="s">
        <v>66</v>
      </c>
      <c r="D227" s="50" t="s">
        <v>39</v>
      </c>
      <c r="E227" s="50" t="s">
        <v>661</v>
      </c>
      <c r="F227" s="50" t="s">
        <v>265</v>
      </c>
      <c r="G227" s="204">
        <v>0</v>
      </c>
      <c r="H227" s="204">
        <v>0</v>
      </c>
      <c r="I227" s="207" t="e">
        <f t="shared" si="45"/>
        <v>#DIV/0!</v>
      </c>
      <c r="J227" s="42">
        <v>1</v>
      </c>
      <c r="K227" s="43">
        <f t="shared" si="39"/>
        <v>0</v>
      </c>
      <c r="L227" s="43">
        <f t="shared" si="40"/>
        <v>0</v>
      </c>
      <c r="M227" s="43" t="e">
        <f t="shared" si="41"/>
        <v>#DIV/0!</v>
      </c>
      <c r="N227" s="57">
        <f t="shared" si="42"/>
        <v>0</v>
      </c>
      <c r="O227" s="57">
        <f t="shared" si="43"/>
        <v>0</v>
      </c>
      <c r="P227" s="57">
        <f t="shared" si="44"/>
        <v>0</v>
      </c>
    </row>
    <row r="228" spans="2:16" ht="25.5" hidden="1">
      <c r="B228" s="15" t="s">
        <v>741</v>
      </c>
      <c r="C228" s="50" t="s">
        <v>66</v>
      </c>
      <c r="D228" s="50" t="s">
        <v>39</v>
      </c>
      <c r="E228" s="50" t="s">
        <v>662</v>
      </c>
      <c r="F228" s="50" t="s">
        <v>265</v>
      </c>
      <c r="G228" s="204">
        <v>0</v>
      </c>
      <c r="H228" s="204">
        <v>0</v>
      </c>
      <c r="I228" s="207" t="e">
        <f t="shared" si="45"/>
        <v>#DIV/0!</v>
      </c>
      <c r="J228" s="42">
        <v>1</v>
      </c>
      <c r="K228" s="43">
        <f t="shared" si="39"/>
        <v>0</v>
      </c>
      <c r="L228" s="43">
        <f t="shared" si="40"/>
        <v>0</v>
      </c>
      <c r="M228" s="43" t="e">
        <f t="shared" si="41"/>
        <v>#DIV/0!</v>
      </c>
      <c r="N228" s="57">
        <f t="shared" si="42"/>
        <v>0</v>
      </c>
      <c r="O228" s="57">
        <f t="shared" si="43"/>
        <v>0</v>
      </c>
      <c r="P228" s="57">
        <f t="shared" si="44"/>
        <v>0</v>
      </c>
    </row>
    <row r="229" spans="2:16" s="137" customFormat="1" ht="38.25">
      <c r="B229" s="14" t="s">
        <v>864</v>
      </c>
      <c r="C229" s="11" t="s">
        <v>66</v>
      </c>
      <c r="D229" s="11"/>
      <c r="E229" s="11" t="s">
        <v>668</v>
      </c>
      <c r="F229" s="11"/>
      <c r="G229" s="203">
        <f>G230</f>
        <v>200</v>
      </c>
      <c r="H229" s="203">
        <v>0</v>
      </c>
      <c r="I229" s="207">
        <f t="shared" si="45"/>
        <v>0</v>
      </c>
      <c r="J229" s="138"/>
      <c r="K229" s="148">
        <f t="shared" si="39"/>
        <v>0</v>
      </c>
      <c r="L229" s="148">
        <f t="shared" si="40"/>
        <v>0</v>
      </c>
      <c r="M229" s="148">
        <f t="shared" si="41"/>
        <v>0</v>
      </c>
      <c r="N229" s="149">
        <f t="shared" si="42"/>
        <v>0</v>
      </c>
      <c r="O229" s="149">
        <f t="shared" si="43"/>
        <v>0</v>
      </c>
      <c r="P229" s="149">
        <f t="shared" si="44"/>
        <v>0</v>
      </c>
    </row>
    <row r="230" spans="2:16" s="137" customFormat="1">
      <c r="B230" s="15" t="s">
        <v>19</v>
      </c>
      <c r="C230" s="50" t="s">
        <v>66</v>
      </c>
      <c r="D230" s="50" t="s">
        <v>39</v>
      </c>
      <c r="E230" s="50" t="s">
        <v>668</v>
      </c>
      <c r="F230" s="50" t="s">
        <v>20</v>
      </c>
      <c r="G230" s="204">
        <f>G231+G232+G233</f>
        <v>200</v>
      </c>
      <c r="H230" s="204">
        <v>0</v>
      </c>
      <c r="I230" s="212">
        <f t="shared" si="45"/>
        <v>0</v>
      </c>
      <c r="J230" s="138"/>
      <c r="K230" s="148">
        <f t="shared" si="39"/>
        <v>0</v>
      </c>
      <c r="L230" s="148">
        <f t="shared" si="40"/>
        <v>0</v>
      </c>
      <c r="M230" s="148">
        <f t="shared" si="41"/>
        <v>0</v>
      </c>
      <c r="N230" s="149">
        <f t="shared" si="42"/>
        <v>0</v>
      </c>
      <c r="O230" s="149">
        <f t="shared" si="43"/>
        <v>0</v>
      </c>
      <c r="P230" s="149">
        <f t="shared" si="44"/>
        <v>0</v>
      </c>
    </row>
    <row r="231" spans="2:16" s="137" customFormat="1">
      <c r="B231" s="15" t="s">
        <v>801</v>
      </c>
      <c r="C231" s="50" t="s">
        <v>66</v>
      </c>
      <c r="D231" s="50" t="s">
        <v>39</v>
      </c>
      <c r="E231" s="50" t="s">
        <v>679</v>
      </c>
      <c r="F231" s="50" t="s">
        <v>20</v>
      </c>
      <c r="G231" s="204">
        <f>1000-800</f>
        <v>200</v>
      </c>
      <c r="H231" s="204">
        <v>0</v>
      </c>
      <c r="I231" s="212">
        <f t="shared" si="45"/>
        <v>0</v>
      </c>
      <c r="J231" s="138">
        <v>1</v>
      </c>
      <c r="K231" s="148">
        <f t="shared" si="39"/>
        <v>200</v>
      </c>
      <c r="L231" s="148">
        <f t="shared" si="40"/>
        <v>0</v>
      </c>
      <c r="M231" s="148">
        <f t="shared" si="41"/>
        <v>0</v>
      </c>
      <c r="N231" s="149">
        <f t="shared" si="42"/>
        <v>0</v>
      </c>
      <c r="O231" s="149">
        <f t="shared" si="43"/>
        <v>0</v>
      </c>
      <c r="P231" s="149">
        <f t="shared" si="44"/>
        <v>0</v>
      </c>
    </row>
    <row r="232" spans="2:16" s="137" customFormat="1" hidden="1">
      <c r="B232" s="15" t="s">
        <v>718</v>
      </c>
      <c r="C232" s="50" t="s">
        <v>66</v>
      </c>
      <c r="D232" s="50" t="s">
        <v>39</v>
      </c>
      <c r="E232" s="50" t="s">
        <v>667</v>
      </c>
      <c r="F232" s="50" t="s">
        <v>20</v>
      </c>
      <c r="G232" s="204">
        <f>900-450-450</f>
        <v>0</v>
      </c>
      <c r="H232" s="204">
        <v>0</v>
      </c>
      <c r="I232" s="207" t="e">
        <f t="shared" si="45"/>
        <v>#DIV/0!</v>
      </c>
      <c r="J232" s="138">
        <v>1</v>
      </c>
      <c r="K232" s="148">
        <f t="shared" si="39"/>
        <v>0</v>
      </c>
      <c r="L232" s="148">
        <f t="shared" si="40"/>
        <v>0</v>
      </c>
      <c r="M232" s="148" t="e">
        <f t="shared" si="41"/>
        <v>#DIV/0!</v>
      </c>
      <c r="N232" s="149">
        <f t="shared" si="42"/>
        <v>0</v>
      </c>
      <c r="O232" s="149">
        <f t="shared" si="43"/>
        <v>0</v>
      </c>
      <c r="P232" s="149">
        <f t="shared" si="44"/>
        <v>0</v>
      </c>
    </row>
    <row r="233" spans="2:16" s="137" customFormat="1" ht="25.5" hidden="1">
      <c r="B233" s="15" t="s">
        <v>802</v>
      </c>
      <c r="C233" s="50" t="s">
        <v>66</v>
      </c>
      <c r="D233" s="50" t="s">
        <v>39</v>
      </c>
      <c r="E233" s="50" t="s">
        <v>680</v>
      </c>
      <c r="F233" s="50" t="s">
        <v>20</v>
      </c>
      <c r="G233" s="204">
        <v>0</v>
      </c>
      <c r="H233" s="204">
        <v>0</v>
      </c>
      <c r="I233" s="207" t="e">
        <f t="shared" si="45"/>
        <v>#DIV/0!</v>
      </c>
      <c r="J233" s="138">
        <v>1</v>
      </c>
      <c r="K233" s="148">
        <f t="shared" si="39"/>
        <v>0</v>
      </c>
      <c r="L233" s="148">
        <f t="shared" si="40"/>
        <v>0</v>
      </c>
      <c r="M233" s="148" t="e">
        <f t="shared" si="41"/>
        <v>#DIV/0!</v>
      </c>
      <c r="N233" s="149">
        <f t="shared" si="42"/>
        <v>0</v>
      </c>
      <c r="O233" s="149">
        <f t="shared" si="43"/>
        <v>0</v>
      </c>
      <c r="P233" s="149">
        <f t="shared" si="44"/>
        <v>0</v>
      </c>
    </row>
    <row r="234" spans="2:16" s="6" customFormat="1">
      <c r="B234" s="14" t="s">
        <v>73</v>
      </c>
      <c r="C234" s="11" t="s">
        <v>66</v>
      </c>
      <c r="D234" s="11" t="s">
        <v>39</v>
      </c>
      <c r="E234" s="11" t="s">
        <v>139</v>
      </c>
      <c r="F234" s="11"/>
      <c r="G234" s="203">
        <f>G239+G243+G246+G235+G237+G241+G248</f>
        <v>3436.1</v>
      </c>
      <c r="H234" s="203">
        <v>3156.1</v>
      </c>
      <c r="I234" s="207">
        <f t="shared" si="45"/>
        <v>0.91851226681412068</v>
      </c>
      <c r="J234" s="13"/>
      <c r="K234" s="46">
        <f t="shared" si="39"/>
        <v>0</v>
      </c>
      <c r="L234" s="46">
        <f t="shared" si="40"/>
        <v>0</v>
      </c>
      <c r="M234" s="46">
        <f t="shared" si="41"/>
        <v>0</v>
      </c>
      <c r="N234" s="58">
        <f t="shared" si="42"/>
        <v>0</v>
      </c>
      <c r="O234" s="58">
        <f t="shared" si="43"/>
        <v>0</v>
      </c>
      <c r="P234" s="58">
        <f t="shared" si="44"/>
        <v>0</v>
      </c>
    </row>
    <row r="235" spans="2:16" ht="43.5" hidden="1" customHeight="1">
      <c r="B235" s="15" t="s">
        <v>498</v>
      </c>
      <c r="C235" s="50" t="s">
        <v>66</v>
      </c>
      <c r="D235" s="50" t="s">
        <v>39</v>
      </c>
      <c r="E235" s="50" t="s">
        <v>503</v>
      </c>
      <c r="F235" s="50"/>
      <c r="G235" s="204">
        <f>G236</f>
        <v>0</v>
      </c>
      <c r="H235" s="204"/>
      <c r="I235" s="207" t="e">
        <f t="shared" si="45"/>
        <v>#DIV/0!</v>
      </c>
      <c r="J235" s="42"/>
      <c r="K235" s="43">
        <f t="shared" si="39"/>
        <v>0</v>
      </c>
      <c r="L235" s="43">
        <f t="shared" si="40"/>
        <v>0</v>
      </c>
      <c r="M235" s="43">
        <f t="shared" si="41"/>
        <v>0</v>
      </c>
      <c r="N235" s="57">
        <f t="shared" si="42"/>
        <v>0</v>
      </c>
      <c r="O235" s="57">
        <f t="shared" si="43"/>
        <v>0</v>
      </c>
      <c r="P235" s="57">
        <f t="shared" si="44"/>
        <v>0</v>
      </c>
    </row>
    <row r="236" spans="2:16" ht="25.5" hidden="1">
      <c r="B236" s="15" t="s">
        <v>519</v>
      </c>
      <c r="C236" s="50" t="s">
        <v>66</v>
      </c>
      <c r="D236" s="50" t="s">
        <v>39</v>
      </c>
      <c r="E236" s="50" t="s">
        <v>503</v>
      </c>
      <c r="F236" s="50" t="s">
        <v>265</v>
      </c>
      <c r="G236" s="204">
        <v>0</v>
      </c>
      <c r="H236" s="204"/>
      <c r="I236" s="207" t="e">
        <f t="shared" si="45"/>
        <v>#DIV/0!</v>
      </c>
      <c r="J236" s="42">
        <v>1</v>
      </c>
      <c r="K236" s="43">
        <f t="shared" si="39"/>
        <v>0</v>
      </c>
      <c r="L236" s="43">
        <f t="shared" si="40"/>
        <v>0</v>
      </c>
      <c r="M236" s="43" t="e">
        <f t="shared" si="41"/>
        <v>#DIV/0!</v>
      </c>
      <c r="N236" s="57">
        <f t="shared" si="42"/>
        <v>0</v>
      </c>
      <c r="O236" s="57">
        <f t="shared" si="43"/>
        <v>0</v>
      </c>
      <c r="P236" s="57">
        <f t="shared" si="44"/>
        <v>0</v>
      </c>
    </row>
    <row r="237" spans="2:16" hidden="1">
      <c r="B237" s="15" t="s">
        <v>73</v>
      </c>
      <c r="C237" s="50" t="s">
        <v>66</v>
      </c>
      <c r="D237" s="50" t="s">
        <v>39</v>
      </c>
      <c r="E237" s="50" t="s">
        <v>211</v>
      </c>
      <c r="F237" s="50"/>
      <c r="G237" s="204">
        <f>G238</f>
        <v>0</v>
      </c>
      <c r="H237" s="204"/>
      <c r="I237" s="207" t="e">
        <f t="shared" si="45"/>
        <v>#DIV/0!</v>
      </c>
      <c r="J237" s="42"/>
      <c r="K237" s="43">
        <f t="shared" si="39"/>
        <v>0</v>
      </c>
      <c r="L237" s="43">
        <f t="shared" si="40"/>
        <v>0</v>
      </c>
      <c r="M237" s="43">
        <f t="shared" si="41"/>
        <v>0</v>
      </c>
      <c r="N237" s="57">
        <f t="shared" si="42"/>
        <v>0</v>
      </c>
      <c r="O237" s="57">
        <f t="shared" si="43"/>
        <v>0</v>
      </c>
      <c r="P237" s="57">
        <f t="shared" si="44"/>
        <v>0</v>
      </c>
    </row>
    <row r="238" spans="2:16" ht="27" hidden="1" customHeight="1">
      <c r="B238" s="15" t="s">
        <v>516</v>
      </c>
      <c r="C238" s="50" t="s">
        <v>66</v>
      </c>
      <c r="D238" s="50" t="s">
        <v>39</v>
      </c>
      <c r="E238" s="50" t="s">
        <v>211</v>
      </c>
      <c r="F238" s="50" t="s">
        <v>265</v>
      </c>
      <c r="G238" s="204">
        <v>0</v>
      </c>
      <c r="H238" s="204"/>
      <c r="I238" s="207" t="e">
        <f t="shared" si="45"/>
        <v>#DIV/0!</v>
      </c>
      <c r="J238" s="42">
        <v>1</v>
      </c>
      <c r="K238" s="43">
        <f t="shared" si="39"/>
        <v>0</v>
      </c>
      <c r="L238" s="43">
        <f t="shared" si="40"/>
        <v>0</v>
      </c>
      <c r="M238" s="43" t="e">
        <f t="shared" si="41"/>
        <v>#DIV/0!</v>
      </c>
      <c r="N238" s="57">
        <f t="shared" si="42"/>
        <v>0</v>
      </c>
      <c r="O238" s="57">
        <f t="shared" si="43"/>
        <v>0</v>
      </c>
      <c r="P238" s="57">
        <f t="shared" si="44"/>
        <v>0</v>
      </c>
    </row>
    <row r="239" spans="2:16" ht="13.5" customHeight="1">
      <c r="B239" s="15" t="s">
        <v>803</v>
      </c>
      <c r="C239" s="50" t="s">
        <v>66</v>
      </c>
      <c r="D239" s="50" t="s">
        <v>39</v>
      </c>
      <c r="E239" s="50" t="s">
        <v>375</v>
      </c>
      <c r="F239" s="50"/>
      <c r="G239" s="204">
        <f>G240</f>
        <v>1100</v>
      </c>
      <c r="H239" s="204">
        <v>995.5</v>
      </c>
      <c r="I239" s="212">
        <f t="shared" si="45"/>
        <v>0.90500000000000003</v>
      </c>
      <c r="J239" s="42"/>
      <c r="K239" s="43">
        <f t="shared" si="39"/>
        <v>0</v>
      </c>
      <c r="L239" s="43">
        <f t="shared" si="40"/>
        <v>0</v>
      </c>
      <c r="M239" s="43">
        <f t="shared" si="41"/>
        <v>0</v>
      </c>
      <c r="N239" s="57">
        <f t="shared" si="42"/>
        <v>0</v>
      </c>
      <c r="O239" s="57">
        <f t="shared" si="43"/>
        <v>0</v>
      </c>
      <c r="P239" s="57">
        <f t="shared" si="44"/>
        <v>0</v>
      </c>
    </row>
    <row r="240" spans="2:16">
      <c r="B240" s="15" t="s">
        <v>19</v>
      </c>
      <c r="C240" s="50" t="s">
        <v>66</v>
      </c>
      <c r="D240" s="50" t="s">
        <v>39</v>
      </c>
      <c r="E240" s="50" t="s">
        <v>375</v>
      </c>
      <c r="F240" s="50" t="s">
        <v>20</v>
      </c>
      <c r="G240" s="204">
        <f>1200-100</f>
        <v>1100</v>
      </c>
      <c r="H240" s="204">
        <v>995.5</v>
      </c>
      <c r="I240" s="212">
        <f t="shared" si="45"/>
        <v>0.90500000000000003</v>
      </c>
      <c r="J240" s="42">
        <v>1</v>
      </c>
      <c r="K240" s="43">
        <f t="shared" si="39"/>
        <v>1100</v>
      </c>
      <c r="L240" s="43">
        <f t="shared" si="40"/>
        <v>995.5</v>
      </c>
      <c r="M240" s="43">
        <f t="shared" si="41"/>
        <v>0.90500000000000003</v>
      </c>
      <c r="N240" s="57">
        <f t="shared" si="42"/>
        <v>0</v>
      </c>
      <c r="O240" s="57">
        <f t="shared" si="43"/>
        <v>0</v>
      </c>
      <c r="P240" s="57">
        <f t="shared" si="44"/>
        <v>0</v>
      </c>
    </row>
    <row r="241" spans="1:16" ht="25.5">
      <c r="B241" s="62" t="s">
        <v>854</v>
      </c>
      <c r="C241" s="50" t="s">
        <v>66</v>
      </c>
      <c r="D241" s="50" t="s">
        <v>39</v>
      </c>
      <c r="E241" s="50" t="s">
        <v>855</v>
      </c>
      <c r="F241" s="50"/>
      <c r="G241" s="204">
        <f>G242</f>
        <v>270</v>
      </c>
      <c r="H241" s="204">
        <v>248.7</v>
      </c>
      <c r="I241" s="212">
        <f t="shared" si="45"/>
        <v>0.9211111111111111</v>
      </c>
      <c r="J241" s="42"/>
      <c r="K241" s="43"/>
      <c r="L241" s="43"/>
      <c r="M241" s="43"/>
      <c r="N241" s="57"/>
      <c r="O241" s="57"/>
      <c r="P241" s="57"/>
    </row>
    <row r="242" spans="1:16">
      <c r="B242" s="62" t="s">
        <v>19</v>
      </c>
      <c r="C242" s="50" t="s">
        <v>66</v>
      </c>
      <c r="D242" s="50" t="s">
        <v>39</v>
      </c>
      <c r="E242" s="50" t="s">
        <v>855</v>
      </c>
      <c r="F242" s="50" t="s">
        <v>20</v>
      </c>
      <c r="G242" s="204">
        <f>505.9+200-116.5-154.4-165</f>
        <v>270</v>
      </c>
      <c r="H242" s="204">
        <v>248.7</v>
      </c>
      <c r="I242" s="212">
        <f t="shared" si="45"/>
        <v>0.9211111111111111</v>
      </c>
      <c r="J242" s="42"/>
      <c r="K242" s="43"/>
      <c r="L242" s="43"/>
      <c r="M242" s="43"/>
      <c r="N242" s="57"/>
      <c r="O242" s="57"/>
      <c r="P242" s="57"/>
    </row>
    <row r="243" spans="1:16" ht="51">
      <c r="A243" s="4" t="s">
        <v>406</v>
      </c>
      <c r="B243" s="15" t="s">
        <v>525</v>
      </c>
      <c r="C243" s="50" t="s">
        <v>66</v>
      </c>
      <c r="D243" s="50" t="s">
        <v>39</v>
      </c>
      <c r="E243" s="50" t="s">
        <v>373</v>
      </c>
      <c r="F243" s="50"/>
      <c r="G243" s="204">
        <f>G245+G244</f>
        <v>1774.9</v>
      </c>
      <c r="H243" s="204">
        <v>1774.9</v>
      </c>
      <c r="I243" s="212">
        <f t="shared" si="45"/>
        <v>1</v>
      </c>
      <c r="J243" s="44"/>
      <c r="K243" s="43">
        <f t="shared" si="39"/>
        <v>0</v>
      </c>
      <c r="L243" s="43">
        <f t="shared" si="40"/>
        <v>0</v>
      </c>
      <c r="M243" s="43">
        <f t="shared" si="41"/>
        <v>0</v>
      </c>
      <c r="N243" s="57">
        <f t="shared" si="42"/>
        <v>0</v>
      </c>
      <c r="O243" s="57">
        <f t="shared" si="43"/>
        <v>0</v>
      </c>
      <c r="P243" s="57">
        <f t="shared" si="44"/>
        <v>0</v>
      </c>
    </row>
    <row r="244" spans="1:16" ht="25.5">
      <c r="B244" s="15" t="s">
        <v>863</v>
      </c>
      <c r="C244" s="50" t="s">
        <v>66</v>
      </c>
      <c r="D244" s="50" t="s">
        <v>39</v>
      </c>
      <c r="E244" s="50" t="s">
        <v>373</v>
      </c>
      <c r="F244" s="50" t="s">
        <v>31</v>
      </c>
      <c r="G244" s="204">
        <f>823.8+595.6+408.9-53.4</f>
        <v>1774.9</v>
      </c>
      <c r="H244" s="204">
        <v>1774.9</v>
      </c>
      <c r="I244" s="212">
        <f t="shared" si="45"/>
        <v>1</v>
      </c>
      <c r="J244" s="44"/>
      <c r="K244" s="43"/>
      <c r="L244" s="43"/>
      <c r="M244" s="43"/>
      <c r="N244" s="57"/>
      <c r="O244" s="57"/>
      <c r="P244" s="57"/>
    </row>
    <row r="245" spans="1:16" ht="25.5" hidden="1">
      <c r="B245" s="15" t="s">
        <v>372</v>
      </c>
      <c r="C245" s="50" t="s">
        <v>66</v>
      </c>
      <c r="D245" s="50" t="s">
        <v>39</v>
      </c>
      <c r="E245" s="50" t="s">
        <v>373</v>
      </c>
      <c r="F245" s="50" t="s">
        <v>22</v>
      </c>
      <c r="G245" s="204">
        <f>823.8-823.8</f>
        <v>0</v>
      </c>
      <c r="H245" s="204">
        <v>0</v>
      </c>
      <c r="I245" s="212" t="e">
        <f t="shared" si="45"/>
        <v>#DIV/0!</v>
      </c>
      <c r="J245" s="42">
        <v>2</v>
      </c>
      <c r="K245" s="43">
        <f t="shared" si="39"/>
        <v>0</v>
      </c>
      <c r="L245" s="43">
        <f t="shared" si="40"/>
        <v>0</v>
      </c>
      <c r="M245" s="43">
        <f t="shared" si="41"/>
        <v>0</v>
      </c>
      <c r="N245" s="57">
        <f t="shared" si="42"/>
        <v>0</v>
      </c>
      <c r="O245" s="57">
        <f t="shared" si="43"/>
        <v>0</v>
      </c>
      <c r="P245" s="57" t="e">
        <f t="shared" si="44"/>
        <v>#DIV/0!</v>
      </c>
    </row>
    <row r="246" spans="1:16">
      <c r="B246" s="15" t="s">
        <v>392</v>
      </c>
      <c r="C246" s="50" t="s">
        <v>66</v>
      </c>
      <c r="D246" s="50" t="s">
        <v>39</v>
      </c>
      <c r="E246" s="50" t="s">
        <v>393</v>
      </c>
      <c r="F246" s="50"/>
      <c r="G246" s="204">
        <f>G247</f>
        <v>137</v>
      </c>
      <c r="H246" s="204">
        <v>137</v>
      </c>
      <c r="I246" s="212">
        <f t="shared" si="45"/>
        <v>1</v>
      </c>
      <c r="J246" s="42"/>
      <c r="K246" s="43">
        <f t="shared" si="39"/>
        <v>0</v>
      </c>
      <c r="L246" s="43">
        <f t="shared" si="40"/>
        <v>0</v>
      </c>
      <c r="M246" s="43">
        <f t="shared" si="41"/>
        <v>0</v>
      </c>
      <c r="N246" s="57">
        <f t="shared" si="42"/>
        <v>0</v>
      </c>
      <c r="O246" s="57">
        <f t="shared" si="43"/>
        <v>0</v>
      </c>
      <c r="P246" s="57">
        <f t="shared" si="44"/>
        <v>0</v>
      </c>
    </row>
    <row r="247" spans="1:16" ht="25.5">
      <c r="B247" s="15" t="s">
        <v>394</v>
      </c>
      <c r="C247" s="50" t="s">
        <v>66</v>
      </c>
      <c r="D247" s="50" t="s">
        <v>39</v>
      </c>
      <c r="E247" s="50" t="s">
        <v>393</v>
      </c>
      <c r="F247" s="50" t="s">
        <v>31</v>
      </c>
      <c r="G247" s="204">
        <v>137</v>
      </c>
      <c r="H247" s="204">
        <v>137</v>
      </c>
      <c r="I247" s="212">
        <f t="shared" si="45"/>
        <v>1</v>
      </c>
      <c r="J247" s="42">
        <v>1</v>
      </c>
      <c r="K247" s="43">
        <f t="shared" si="39"/>
        <v>137</v>
      </c>
      <c r="L247" s="43">
        <f t="shared" si="40"/>
        <v>137</v>
      </c>
      <c r="M247" s="43">
        <f t="shared" si="41"/>
        <v>1</v>
      </c>
      <c r="N247" s="57">
        <f t="shared" si="42"/>
        <v>0</v>
      </c>
      <c r="O247" s="57">
        <f t="shared" si="43"/>
        <v>0</v>
      </c>
      <c r="P247" s="57">
        <f t="shared" si="44"/>
        <v>0</v>
      </c>
    </row>
    <row r="248" spans="1:16" ht="25.5">
      <c r="B248" s="15" t="s">
        <v>909</v>
      </c>
      <c r="C248" s="50" t="s">
        <v>66</v>
      </c>
      <c r="D248" s="50" t="s">
        <v>39</v>
      </c>
      <c r="E248" s="50" t="s">
        <v>185</v>
      </c>
      <c r="F248" s="50" t="s">
        <v>31</v>
      </c>
      <c r="G248" s="204">
        <f>398-100-150-35-108.8+150</f>
        <v>154.19999999999999</v>
      </c>
      <c r="H248" s="204">
        <v>0</v>
      </c>
      <c r="I248" s="207">
        <f t="shared" si="45"/>
        <v>0</v>
      </c>
      <c r="J248" s="42"/>
      <c r="K248" s="43"/>
      <c r="L248" s="43"/>
      <c r="M248" s="43"/>
      <c r="N248" s="57"/>
      <c r="O248" s="57"/>
      <c r="P248" s="57"/>
    </row>
    <row r="249" spans="1:16">
      <c r="B249" s="14" t="s">
        <v>382</v>
      </c>
      <c r="C249" s="11" t="s">
        <v>66</v>
      </c>
      <c r="D249" s="11" t="s">
        <v>378</v>
      </c>
      <c r="E249" s="11"/>
      <c r="F249" s="11"/>
      <c r="G249" s="203">
        <f>G250+G252</f>
        <v>7796.8</v>
      </c>
      <c r="H249" s="203">
        <v>7796.8</v>
      </c>
      <c r="I249" s="207">
        <f t="shared" si="45"/>
        <v>1</v>
      </c>
      <c r="J249" s="42"/>
      <c r="K249" s="43">
        <f t="shared" si="39"/>
        <v>0</v>
      </c>
      <c r="L249" s="43">
        <f t="shared" si="40"/>
        <v>0</v>
      </c>
      <c r="M249" s="43">
        <f t="shared" si="41"/>
        <v>0</v>
      </c>
      <c r="N249" s="57">
        <f t="shared" si="42"/>
        <v>0</v>
      </c>
      <c r="O249" s="57">
        <f t="shared" si="43"/>
        <v>0</v>
      </c>
      <c r="P249" s="57">
        <f t="shared" si="44"/>
        <v>0</v>
      </c>
    </row>
    <row r="250" spans="1:16" hidden="1">
      <c r="B250" s="15" t="s">
        <v>383</v>
      </c>
      <c r="C250" s="50" t="s">
        <v>66</v>
      </c>
      <c r="D250" s="50" t="s">
        <v>379</v>
      </c>
      <c r="E250" s="50" t="s">
        <v>380</v>
      </c>
      <c r="F250" s="50"/>
      <c r="G250" s="204">
        <f t="shared" ref="G250" si="46">G251</f>
        <v>0</v>
      </c>
      <c r="H250" s="204"/>
      <c r="I250" s="207" t="e">
        <f t="shared" si="45"/>
        <v>#DIV/0!</v>
      </c>
      <c r="J250" s="42"/>
      <c r="K250" s="43">
        <f t="shared" si="39"/>
        <v>0</v>
      </c>
      <c r="L250" s="43">
        <f t="shared" si="40"/>
        <v>0</v>
      </c>
      <c r="M250" s="43">
        <f t="shared" si="41"/>
        <v>0</v>
      </c>
      <c r="N250" s="57">
        <f t="shared" si="42"/>
        <v>0</v>
      </c>
      <c r="O250" s="57">
        <f t="shared" si="43"/>
        <v>0</v>
      </c>
      <c r="P250" s="57">
        <f t="shared" si="44"/>
        <v>0</v>
      </c>
    </row>
    <row r="251" spans="1:16" hidden="1">
      <c r="B251" s="15" t="s">
        <v>384</v>
      </c>
      <c r="C251" s="50" t="s">
        <v>66</v>
      </c>
      <c r="D251" s="50" t="s">
        <v>379</v>
      </c>
      <c r="E251" s="50" t="s">
        <v>380</v>
      </c>
      <c r="F251" s="50" t="s">
        <v>134</v>
      </c>
      <c r="G251" s="204">
        <v>0</v>
      </c>
      <c r="H251" s="204"/>
      <c r="I251" s="207" t="e">
        <f t="shared" si="45"/>
        <v>#DIV/0!</v>
      </c>
      <c r="J251" s="42">
        <v>1</v>
      </c>
      <c r="K251" s="43">
        <f t="shared" si="39"/>
        <v>0</v>
      </c>
      <c r="L251" s="43">
        <f t="shared" si="40"/>
        <v>0</v>
      </c>
      <c r="M251" s="43" t="e">
        <f t="shared" si="41"/>
        <v>#DIV/0!</v>
      </c>
      <c r="N251" s="57">
        <f t="shared" si="42"/>
        <v>0</v>
      </c>
      <c r="O251" s="57">
        <f t="shared" si="43"/>
        <v>0</v>
      </c>
      <c r="P251" s="57">
        <f t="shared" si="44"/>
        <v>0</v>
      </c>
    </row>
    <row r="252" spans="1:16">
      <c r="B252" s="15" t="s">
        <v>540</v>
      </c>
      <c r="C252" s="50" t="s">
        <v>66</v>
      </c>
      <c r="D252" s="50" t="s">
        <v>378</v>
      </c>
      <c r="E252" s="50" t="s">
        <v>526</v>
      </c>
      <c r="F252" s="50"/>
      <c r="G252" s="203">
        <f>G253</f>
        <v>7796.8</v>
      </c>
      <c r="H252" s="203">
        <v>7796.8</v>
      </c>
      <c r="I252" s="207">
        <f t="shared" si="45"/>
        <v>1</v>
      </c>
      <c r="J252" s="42"/>
      <c r="K252" s="43">
        <f t="shared" si="39"/>
        <v>0</v>
      </c>
      <c r="L252" s="43">
        <f t="shared" si="40"/>
        <v>0</v>
      </c>
      <c r="M252" s="43">
        <f t="shared" si="41"/>
        <v>0</v>
      </c>
      <c r="N252" s="57">
        <f t="shared" si="42"/>
        <v>0</v>
      </c>
      <c r="O252" s="57">
        <f t="shared" si="43"/>
        <v>0</v>
      </c>
      <c r="P252" s="57">
        <f t="shared" si="44"/>
        <v>0</v>
      </c>
    </row>
    <row r="253" spans="1:16">
      <c r="B253" s="15" t="s">
        <v>580</v>
      </c>
      <c r="C253" s="50" t="s">
        <v>66</v>
      </c>
      <c r="D253" s="50" t="s">
        <v>378</v>
      </c>
      <c r="E253" s="50" t="s">
        <v>872</v>
      </c>
      <c r="F253" s="50"/>
      <c r="G253" s="204">
        <f>G254+G255</f>
        <v>7796.8</v>
      </c>
      <c r="H253" s="204">
        <v>7796.8</v>
      </c>
      <c r="I253" s="212">
        <f t="shared" si="45"/>
        <v>1</v>
      </c>
      <c r="J253" s="42"/>
      <c r="K253" s="43">
        <f t="shared" si="39"/>
        <v>0</v>
      </c>
      <c r="L253" s="43">
        <f t="shared" si="40"/>
        <v>0</v>
      </c>
      <c r="M253" s="43">
        <f t="shared" si="41"/>
        <v>0</v>
      </c>
      <c r="N253" s="57">
        <f t="shared" si="42"/>
        <v>0</v>
      </c>
      <c r="O253" s="57">
        <f t="shared" si="43"/>
        <v>0</v>
      </c>
      <c r="P253" s="57">
        <f t="shared" si="44"/>
        <v>0</v>
      </c>
    </row>
    <row r="254" spans="1:16" ht="25.5">
      <c r="B254" s="15" t="s">
        <v>587</v>
      </c>
      <c r="C254" s="50" t="s">
        <v>66</v>
      </c>
      <c r="D254" s="50" t="s">
        <v>378</v>
      </c>
      <c r="E254" s="50" t="s">
        <v>872</v>
      </c>
      <c r="F254" s="50" t="s">
        <v>874</v>
      </c>
      <c r="G254" s="204">
        <v>6637</v>
      </c>
      <c r="H254" s="204">
        <v>6637</v>
      </c>
      <c r="I254" s="212">
        <f t="shared" si="45"/>
        <v>1</v>
      </c>
      <c r="J254" s="42">
        <v>2</v>
      </c>
      <c r="K254" s="43">
        <f t="shared" si="39"/>
        <v>0</v>
      </c>
      <c r="L254" s="43">
        <f t="shared" si="40"/>
        <v>0</v>
      </c>
      <c r="M254" s="43">
        <f t="shared" si="41"/>
        <v>0</v>
      </c>
      <c r="N254" s="57">
        <f t="shared" si="42"/>
        <v>6637</v>
      </c>
      <c r="O254" s="57">
        <f t="shared" si="43"/>
        <v>6637</v>
      </c>
      <c r="P254" s="57">
        <f t="shared" si="44"/>
        <v>1</v>
      </c>
    </row>
    <row r="255" spans="1:16" ht="25.5">
      <c r="B255" s="15" t="s">
        <v>586</v>
      </c>
      <c r="C255" s="50" t="s">
        <v>66</v>
      </c>
      <c r="D255" s="50" t="s">
        <v>378</v>
      </c>
      <c r="E255" s="50" t="s">
        <v>872</v>
      </c>
      <c r="F255" s="50" t="s">
        <v>874</v>
      </c>
      <c r="G255" s="204">
        <v>1159.8</v>
      </c>
      <c r="H255" s="204">
        <v>1159.8</v>
      </c>
      <c r="I255" s="212">
        <f t="shared" si="45"/>
        <v>1</v>
      </c>
      <c r="J255" s="42">
        <v>1</v>
      </c>
      <c r="K255" s="43">
        <f t="shared" ref="K255:K327" si="47">SUMIF(J255,1,G255)</f>
        <v>1159.8</v>
      </c>
      <c r="L255" s="43">
        <f t="shared" ref="L255:L327" si="48">SUMIF(J255,1,H255)</f>
        <v>1159.8</v>
      </c>
      <c r="M255" s="43">
        <f t="shared" ref="M255:M327" si="49">SUMIF(J255,1,I255)</f>
        <v>1</v>
      </c>
      <c r="N255" s="57">
        <f t="shared" ref="N255:N327" si="50">SUMIF(J255,2,G255)</f>
        <v>0</v>
      </c>
      <c r="O255" s="57">
        <f t="shared" ref="O255:O327" si="51">SUMIF(J255,2,H255)</f>
        <v>0</v>
      </c>
      <c r="P255" s="57">
        <f t="shared" ref="P255:P327" si="52">SUMIF(J255,2,I255)</f>
        <v>0</v>
      </c>
    </row>
    <row r="256" spans="1:16" ht="25.5" hidden="1">
      <c r="B256" s="15" t="s">
        <v>863</v>
      </c>
      <c r="C256" s="50" t="s">
        <v>66</v>
      </c>
      <c r="D256" s="50" t="s">
        <v>39</v>
      </c>
      <c r="E256" s="50" t="s">
        <v>373</v>
      </c>
      <c r="F256" s="50" t="s">
        <v>22</v>
      </c>
      <c r="G256" s="204">
        <v>0</v>
      </c>
      <c r="H256" s="204"/>
      <c r="I256" s="207" t="e">
        <f t="shared" si="45"/>
        <v>#DIV/0!</v>
      </c>
      <c r="J256" s="42"/>
      <c r="K256" s="43"/>
      <c r="L256" s="43"/>
      <c r="M256" s="43"/>
      <c r="N256" s="57"/>
      <c r="O256" s="57"/>
      <c r="P256" s="57"/>
    </row>
    <row r="257" spans="2:16">
      <c r="B257" s="14" t="s">
        <v>81</v>
      </c>
      <c r="C257" s="11" t="s">
        <v>66</v>
      </c>
      <c r="D257" s="11" t="s">
        <v>75</v>
      </c>
      <c r="E257" s="11"/>
      <c r="F257" s="11"/>
      <c r="G257" s="203">
        <f>G258</f>
        <v>11</v>
      </c>
      <c r="H257" s="203">
        <v>9.5</v>
      </c>
      <c r="I257" s="207">
        <f t="shared" si="45"/>
        <v>0.86363636363636365</v>
      </c>
      <c r="J257" s="42"/>
      <c r="K257" s="43">
        <f t="shared" si="47"/>
        <v>0</v>
      </c>
      <c r="L257" s="43">
        <f t="shared" si="48"/>
        <v>0</v>
      </c>
      <c r="M257" s="43">
        <f t="shared" si="49"/>
        <v>0</v>
      </c>
      <c r="N257" s="57">
        <f t="shared" si="50"/>
        <v>0</v>
      </c>
      <c r="O257" s="57">
        <f t="shared" si="51"/>
        <v>0</v>
      </c>
      <c r="P257" s="57">
        <f t="shared" si="52"/>
        <v>0</v>
      </c>
    </row>
    <row r="258" spans="2:16">
      <c r="B258" s="14" t="s">
        <v>364</v>
      </c>
      <c r="C258" s="11" t="s">
        <v>66</v>
      </c>
      <c r="D258" s="11" t="s">
        <v>363</v>
      </c>
      <c r="E258" s="11"/>
      <c r="F258" s="11"/>
      <c r="G258" s="203">
        <f>G259</f>
        <v>11</v>
      </c>
      <c r="H258" s="203">
        <v>9.5</v>
      </c>
      <c r="I258" s="207">
        <f t="shared" si="45"/>
        <v>0.86363636363636365</v>
      </c>
      <c r="J258" s="42"/>
      <c r="K258" s="43">
        <f t="shared" si="47"/>
        <v>0</v>
      </c>
      <c r="L258" s="43">
        <f t="shared" si="48"/>
        <v>0</v>
      </c>
      <c r="M258" s="43">
        <f t="shared" si="49"/>
        <v>0</v>
      </c>
      <c r="N258" s="57">
        <f t="shared" si="50"/>
        <v>0</v>
      </c>
      <c r="O258" s="57">
        <f t="shared" si="51"/>
        <v>0</v>
      </c>
      <c r="P258" s="57">
        <f t="shared" si="52"/>
        <v>0</v>
      </c>
    </row>
    <row r="259" spans="2:16" ht="38.25">
      <c r="B259" s="74" t="s">
        <v>441</v>
      </c>
      <c r="C259" s="50" t="s">
        <v>66</v>
      </c>
      <c r="D259" s="50" t="s">
        <v>363</v>
      </c>
      <c r="E259" s="50" t="s">
        <v>399</v>
      </c>
      <c r="F259" s="11"/>
      <c r="G259" s="204">
        <f>G260</f>
        <v>11</v>
      </c>
      <c r="H259" s="204">
        <v>9.5</v>
      </c>
      <c r="I259" s="212">
        <f t="shared" si="45"/>
        <v>0.86363636363636365</v>
      </c>
      <c r="J259" s="42"/>
      <c r="K259" s="43">
        <f t="shared" si="47"/>
        <v>0</v>
      </c>
      <c r="L259" s="43">
        <f t="shared" si="48"/>
        <v>0</v>
      </c>
      <c r="M259" s="43">
        <f t="shared" si="49"/>
        <v>0</v>
      </c>
      <c r="N259" s="57">
        <f t="shared" si="50"/>
        <v>0</v>
      </c>
      <c r="O259" s="57">
        <f t="shared" si="51"/>
        <v>0</v>
      </c>
      <c r="P259" s="57">
        <f t="shared" si="52"/>
        <v>0</v>
      </c>
    </row>
    <row r="260" spans="2:16">
      <c r="B260" s="15" t="s">
        <v>19</v>
      </c>
      <c r="C260" s="50" t="s">
        <v>66</v>
      </c>
      <c r="D260" s="50" t="s">
        <v>363</v>
      </c>
      <c r="E260" s="50" t="s">
        <v>297</v>
      </c>
      <c r="F260" s="11"/>
      <c r="G260" s="204">
        <f>G261+G262+G263</f>
        <v>11</v>
      </c>
      <c r="H260" s="204">
        <v>9.5</v>
      </c>
      <c r="I260" s="212">
        <f t="shared" si="45"/>
        <v>0.86363636363636365</v>
      </c>
      <c r="J260" s="42"/>
      <c r="K260" s="43">
        <f t="shared" si="47"/>
        <v>0</v>
      </c>
      <c r="L260" s="43">
        <f t="shared" si="48"/>
        <v>0</v>
      </c>
      <c r="M260" s="43">
        <f t="shared" si="49"/>
        <v>0</v>
      </c>
      <c r="N260" s="57">
        <f t="shared" si="50"/>
        <v>0</v>
      </c>
      <c r="O260" s="57">
        <f t="shared" si="51"/>
        <v>0</v>
      </c>
      <c r="P260" s="57">
        <f t="shared" si="52"/>
        <v>0</v>
      </c>
    </row>
    <row r="261" spans="2:16">
      <c r="B261" s="15" t="s">
        <v>450</v>
      </c>
      <c r="C261" s="50" t="s">
        <v>66</v>
      </c>
      <c r="D261" s="50" t="s">
        <v>363</v>
      </c>
      <c r="E261" s="50" t="s">
        <v>298</v>
      </c>
      <c r="F261" s="50" t="s">
        <v>20</v>
      </c>
      <c r="G261" s="204">
        <v>10</v>
      </c>
      <c r="H261" s="204">
        <v>9.5</v>
      </c>
      <c r="I261" s="212">
        <f t="shared" si="45"/>
        <v>0.95</v>
      </c>
      <c r="J261" s="42">
        <v>1</v>
      </c>
      <c r="K261" s="43">
        <f t="shared" si="47"/>
        <v>10</v>
      </c>
      <c r="L261" s="43">
        <f t="shared" si="48"/>
        <v>9.5</v>
      </c>
      <c r="M261" s="43">
        <f t="shared" si="49"/>
        <v>0.95</v>
      </c>
      <c r="N261" s="57">
        <f t="shared" si="50"/>
        <v>0</v>
      </c>
      <c r="O261" s="57">
        <f t="shared" si="51"/>
        <v>0</v>
      </c>
      <c r="P261" s="57">
        <f t="shared" si="52"/>
        <v>0</v>
      </c>
    </row>
    <row r="262" spans="2:16" ht="25.5">
      <c r="B262" s="15" t="s">
        <v>754</v>
      </c>
      <c r="C262" s="50" t="s">
        <v>66</v>
      </c>
      <c r="D262" s="50" t="s">
        <v>363</v>
      </c>
      <c r="E262" s="50" t="s">
        <v>452</v>
      </c>
      <c r="F262" s="50" t="s">
        <v>20</v>
      </c>
      <c r="G262" s="204">
        <f>259-258</f>
        <v>1</v>
      </c>
      <c r="H262" s="204">
        <v>0</v>
      </c>
      <c r="I262" s="212">
        <f t="shared" si="45"/>
        <v>0</v>
      </c>
      <c r="J262" s="42">
        <v>1</v>
      </c>
      <c r="K262" s="43">
        <f t="shared" si="47"/>
        <v>1</v>
      </c>
      <c r="L262" s="43">
        <f t="shared" si="48"/>
        <v>0</v>
      </c>
      <c r="M262" s="43">
        <f t="shared" si="49"/>
        <v>0</v>
      </c>
      <c r="N262" s="57">
        <f t="shared" si="50"/>
        <v>0</v>
      </c>
      <c r="O262" s="57">
        <f t="shared" si="51"/>
        <v>0</v>
      </c>
      <c r="P262" s="57">
        <f t="shared" si="52"/>
        <v>0</v>
      </c>
    </row>
    <row r="263" spans="2:16" ht="25.5" hidden="1">
      <c r="B263" s="15" t="s">
        <v>451</v>
      </c>
      <c r="C263" s="50" t="s">
        <v>66</v>
      </c>
      <c r="D263" s="50" t="s">
        <v>363</v>
      </c>
      <c r="E263" s="50" t="s">
        <v>453</v>
      </c>
      <c r="F263" s="50" t="s">
        <v>20</v>
      </c>
      <c r="G263" s="204">
        <v>0</v>
      </c>
      <c r="H263" s="204">
        <v>0</v>
      </c>
      <c r="I263" s="207" t="e">
        <f t="shared" si="45"/>
        <v>#DIV/0!</v>
      </c>
      <c r="J263" s="42">
        <v>1</v>
      </c>
      <c r="K263" s="43">
        <f t="shared" si="47"/>
        <v>0</v>
      </c>
      <c r="L263" s="43">
        <f t="shared" si="48"/>
        <v>0</v>
      </c>
      <c r="M263" s="43" t="e">
        <f t="shared" si="49"/>
        <v>#DIV/0!</v>
      </c>
      <c r="N263" s="57">
        <f t="shared" si="50"/>
        <v>0</v>
      </c>
      <c r="O263" s="57">
        <f t="shared" si="51"/>
        <v>0</v>
      </c>
      <c r="P263" s="57">
        <f t="shared" si="52"/>
        <v>0</v>
      </c>
    </row>
    <row r="264" spans="2:16">
      <c r="B264" s="14" t="s">
        <v>27</v>
      </c>
      <c r="C264" s="11" t="s">
        <v>66</v>
      </c>
      <c r="D264" s="11" t="s">
        <v>28</v>
      </c>
      <c r="E264" s="50"/>
      <c r="F264" s="50"/>
      <c r="G264" s="203">
        <f>G265+G309+G284+G302+G306+G295+G281</f>
        <v>8950.6</v>
      </c>
      <c r="H264" s="203">
        <f>H265+H309+H284+H302+H306+H295+H281</f>
        <v>8116.7999999999993</v>
      </c>
      <c r="I264" s="207">
        <f t="shared" si="45"/>
        <v>0.90684423390610669</v>
      </c>
      <c r="J264" s="42"/>
      <c r="K264" s="43">
        <f t="shared" si="47"/>
        <v>0</v>
      </c>
      <c r="L264" s="43">
        <f t="shared" si="48"/>
        <v>0</v>
      </c>
      <c r="M264" s="43">
        <f t="shared" si="49"/>
        <v>0</v>
      </c>
      <c r="N264" s="57">
        <f t="shared" si="50"/>
        <v>0</v>
      </c>
      <c r="O264" s="57">
        <f t="shared" si="51"/>
        <v>0</v>
      </c>
      <c r="P264" s="57">
        <f t="shared" si="52"/>
        <v>0</v>
      </c>
    </row>
    <row r="265" spans="2:16" hidden="1">
      <c r="B265" s="14" t="s">
        <v>82</v>
      </c>
      <c r="C265" s="11" t="s">
        <v>66</v>
      </c>
      <c r="D265" s="11" t="s">
        <v>41</v>
      </c>
      <c r="E265" s="50"/>
      <c r="F265" s="50"/>
      <c r="G265" s="203">
        <f>G266+G278</f>
        <v>0</v>
      </c>
      <c r="H265" s="203"/>
      <c r="I265" s="207" t="e">
        <f t="shared" si="45"/>
        <v>#DIV/0!</v>
      </c>
      <c r="J265" s="45"/>
      <c r="K265" s="43">
        <f t="shared" si="47"/>
        <v>0</v>
      </c>
      <c r="L265" s="43">
        <f t="shared" si="48"/>
        <v>0</v>
      </c>
      <c r="M265" s="43">
        <f t="shared" si="49"/>
        <v>0</v>
      </c>
      <c r="N265" s="57">
        <f t="shared" si="50"/>
        <v>0</v>
      </c>
      <c r="O265" s="57">
        <f t="shared" si="51"/>
        <v>0</v>
      </c>
      <c r="P265" s="57">
        <f t="shared" si="52"/>
        <v>0</v>
      </c>
    </row>
    <row r="266" spans="2:16" ht="51" hidden="1">
      <c r="B266" s="16" t="s">
        <v>412</v>
      </c>
      <c r="C266" s="50" t="s">
        <v>66</v>
      </c>
      <c r="D266" s="50" t="s">
        <v>41</v>
      </c>
      <c r="E266" s="50" t="s">
        <v>415</v>
      </c>
      <c r="F266" s="50"/>
      <c r="G266" s="204">
        <f>G270+G274+G267</f>
        <v>0</v>
      </c>
      <c r="H266" s="204"/>
      <c r="I266" s="207" t="e">
        <f t="shared" si="45"/>
        <v>#DIV/0!</v>
      </c>
      <c r="J266" s="43"/>
      <c r="K266" s="43">
        <f t="shared" si="47"/>
        <v>0</v>
      </c>
      <c r="L266" s="43">
        <f t="shared" si="48"/>
        <v>0</v>
      </c>
      <c r="M266" s="43">
        <f t="shared" si="49"/>
        <v>0</v>
      </c>
      <c r="N266" s="57">
        <f t="shared" si="50"/>
        <v>0</v>
      </c>
      <c r="O266" s="57">
        <f t="shared" si="51"/>
        <v>0</v>
      </c>
      <c r="P266" s="57">
        <f t="shared" si="52"/>
        <v>0</v>
      </c>
    </row>
    <row r="267" spans="2:16" ht="51" hidden="1">
      <c r="B267" s="15" t="s">
        <v>604</v>
      </c>
      <c r="C267" s="50" t="s">
        <v>66</v>
      </c>
      <c r="D267" s="50" t="s">
        <v>41</v>
      </c>
      <c r="E267" s="50" t="s">
        <v>505</v>
      </c>
      <c r="F267" s="50"/>
      <c r="G267" s="204">
        <f>G268+G269</f>
        <v>0</v>
      </c>
      <c r="H267" s="204"/>
      <c r="I267" s="207" t="e">
        <f t="shared" si="45"/>
        <v>#DIV/0!</v>
      </c>
      <c r="J267" s="43"/>
      <c r="K267" s="43">
        <f t="shared" si="47"/>
        <v>0</v>
      </c>
      <c r="L267" s="43">
        <f t="shared" si="48"/>
        <v>0</v>
      </c>
      <c r="M267" s="43">
        <f t="shared" si="49"/>
        <v>0</v>
      </c>
      <c r="N267" s="57">
        <f t="shared" si="50"/>
        <v>0</v>
      </c>
      <c r="O267" s="57">
        <f t="shared" si="51"/>
        <v>0</v>
      </c>
      <c r="P267" s="57">
        <f t="shared" si="52"/>
        <v>0</v>
      </c>
    </row>
    <row r="268" spans="2:16" ht="25.5" hidden="1">
      <c r="B268" s="15" t="s">
        <v>632</v>
      </c>
      <c r="C268" s="50" t="s">
        <v>66</v>
      </c>
      <c r="D268" s="50" t="s">
        <v>41</v>
      </c>
      <c r="E268" s="50" t="s">
        <v>505</v>
      </c>
      <c r="F268" s="50" t="s">
        <v>20</v>
      </c>
      <c r="G268" s="204">
        <v>0</v>
      </c>
      <c r="H268" s="204"/>
      <c r="I268" s="207" t="e">
        <f t="shared" si="45"/>
        <v>#DIV/0!</v>
      </c>
      <c r="J268" s="43">
        <v>2</v>
      </c>
      <c r="K268" s="43">
        <f t="shared" si="47"/>
        <v>0</v>
      </c>
      <c r="L268" s="43">
        <f t="shared" si="48"/>
        <v>0</v>
      </c>
      <c r="M268" s="43">
        <f t="shared" si="49"/>
        <v>0</v>
      </c>
      <c r="N268" s="57">
        <f t="shared" si="50"/>
        <v>0</v>
      </c>
      <c r="O268" s="57">
        <f t="shared" si="51"/>
        <v>0</v>
      </c>
      <c r="P268" s="57" t="e">
        <f t="shared" si="52"/>
        <v>#DIV/0!</v>
      </c>
    </row>
    <row r="269" spans="2:16" ht="25.5" hidden="1">
      <c r="B269" s="15" t="s">
        <v>633</v>
      </c>
      <c r="C269" s="50" t="s">
        <v>66</v>
      </c>
      <c r="D269" s="50" t="s">
        <v>41</v>
      </c>
      <c r="E269" s="50" t="s">
        <v>505</v>
      </c>
      <c r="F269" s="50" t="s">
        <v>20</v>
      </c>
      <c r="G269" s="204">
        <v>0</v>
      </c>
      <c r="H269" s="204"/>
      <c r="I269" s="207" t="e">
        <f t="shared" si="45"/>
        <v>#DIV/0!</v>
      </c>
      <c r="J269" s="43">
        <v>2</v>
      </c>
      <c r="K269" s="43">
        <f t="shared" si="47"/>
        <v>0</v>
      </c>
      <c r="L269" s="43">
        <f t="shared" si="48"/>
        <v>0</v>
      </c>
      <c r="M269" s="43">
        <f t="shared" si="49"/>
        <v>0</v>
      </c>
      <c r="N269" s="57">
        <f t="shared" si="50"/>
        <v>0</v>
      </c>
      <c r="O269" s="57">
        <f t="shared" si="51"/>
        <v>0</v>
      </c>
      <c r="P269" s="57" t="e">
        <f t="shared" si="52"/>
        <v>#DIV/0!</v>
      </c>
    </row>
    <row r="270" spans="2:16" ht="25.5" hidden="1">
      <c r="B270" s="15" t="s">
        <v>413</v>
      </c>
      <c r="C270" s="50" t="s">
        <v>66</v>
      </c>
      <c r="D270" s="50" t="s">
        <v>41</v>
      </c>
      <c r="E270" s="50" t="s">
        <v>410</v>
      </c>
      <c r="F270" s="50"/>
      <c r="G270" s="204">
        <f>G271+G273+G272</f>
        <v>0</v>
      </c>
      <c r="H270" s="204"/>
      <c r="I270" s="207" t="e">
        <f t="shared" si="45"/>
        <v>#DIV/0!</v>
      </c>
      <c r="J270" s="43"/>
      <c r="K270" s="43">
        <f t="shared" si="47"/>
        <v>0</v>
      </c>
      <c r="L270" s="43">
        <f t="shared" si="48"/>
        <v>0</v>
      </c>
      <c r="M270" s="43">
        <f t="shared" si="49"/>
        <v>0</v>
      </c>
      <c r="N270" s="57">
        <f t="shared" si="50"/>
        <v>0</v>
      </c>
      <c r="O270" s="57">
        <f t="shared" si="51"/>
        <v>0</v>
      </c>
      <c r="P270" s="57">
        <f t="shared" si="52"/>
        <v>0</v>
      </c>
    </row>
    <row r="271" spans="2:16" ht="25.5" hidden="1">
      <c r="B271" s="15" t="s">
        <v>387</v>
      </c>
      <c r="C271" s="50" t="s">
        <v>66</v>
      </c>
      <c r="D271" s="50" t="s">
        <v>41</v>
      </c>
      <c r="E271" s="50" t="s">
        <v>410</v>
      </c>
      <c r="F271" s="50" t="s">
        <v>265</v>
      </c>
      <c r="G271" s="204">
        <v>0</v>
      </c>
      <c r="H271" s="204"/>
      <c r="I271" s="207" t="e">
        <f t="shared" si="45"/>
        <v>#DIV/0!</v>
      </c>
      <c r="J271" s="43">
        <v>1</v>
      </c>
      <c r="K271" s="43">
        <f t="shared" si="47"/>
        <v>0</v>
      </c>
      <c r="L271" s="43">
        <f t="shared" si="48"/>
        <v>0</v>
      </c>
      <c r="M271" s="43" t="e">
        <f t="shared" si="49"/>
        <v>#DIV/0!</v>
      </c>
      <c r="N271" s="57">
        <f t="shared" si="50"/>
        <v>0</v>
      </c>
      <c r="O271" s="57">
        <f t="shared" si="51"/>
        <v>0</v>
      </c>
      <c r="P271" s="57">
        <f t="shared" si="52"/>
        <v>0</v>
      </c>
    </row>
    <row r="272" spans="2:16" ht="25.5" hidden="1">
      <c r="B272" s="15" t="s">
        <v>388</v>
      </c>
      <c r="C272" s="50" t="s">
        <v>66</v>
      </c>
      <c r="D272" s="50" t="s">
        <v>41</v>
      </c>
      <c r="E272" s="50" t="s">
        <v>410</v>
      </c>
      <c r="F272" s="50" t="s">
        <v>265</v>
      </c>
      <c r="G272" s="204">
        <v>0</v>
      </c>
      <c r="H272" s="204"/>
      <c r="I272" s="207" t="e">
        <f t="shared" si="45"/>
        <v>#DIV/0!</v>
      </c>
      <c r="J272" s="43">
        <v>2</v>
      </c>
      <c r="K272" s="43">
        <f t="shared" si="47"/>
        <v>0</v>
      </c>
      <c r="L272" s="43">
        <f t="shared" si="48"/>
        <v>0</v>
      </c>
      <c r="M272" s="43">
        <f t="shared" si="49"/>
        <v>0</v>
      </c>
      <c r="N272" s="57">
        <f t="shared" si="50"/>
        <v>0</v>
      </c>
      <c r="O272" s="57">
        <f t="shared" si="51"/>
        <v>0</v>
      </c>
      <c r="P272" s="57" t="e">
        <f t="shared" si="52"/>
        <v>#DIV/0!</v>
      </c>
    </row>
    <row r="273" spans="2:16" ht="25.5" hidden="1">
      <c r="B273" s="15" t="s">
        <v>405</v>
      </c>
      <c r="C273" s="50" t="s">
        <v>66</v>
      </c>
      <c r="D273" s="50" t="s">
        <v>41</v>
      </c>
      <c r="E273" s="50" t="s">
        <v>410</v>
      </c>
      <c r="F273" s="50" t="s">
        <v>265</v>
      </c>
      <c r="G273" s="204">
        <v>0</v>
      </c>
      <c r="H273" s="204"/>
      <c r="I273" s="207" t="e">
        <f t="shared" si="45"/>
        <v>#DIV/0!</v>
      </c>
      <c r="J273" s="43">
        <v>2</v>
      </c>
      <c r="K273" s="43">
        <f t="shared" si="47"/>
        <v>0</v>
      </c>
      <c r="L273" s="43">
        <f t="shared" si="48"/>
        <v>0</v>
      </c>
      <c r="M273" s="43">
        <f t="shared" si="49"/>
        <v>0</v>
      </c>
      <c r="N273" s="57">
        <f t="shared" si="50"/>
        <v>0</v>
      </c>
      <c r="O273" s="57">
        <f t="shared" si="51"/>
        <v>0</v>
      </c>
      <c r="P273" s="57" t="e">
        <f t="shared" si="52"/>
        <v>#DIV/0!</v>
      </c>
    </row>
    <row r="274" spans="2:16" ht="25.5" hidden="1">
      <c r="B274" s="15" t="s">
        <v>413</v>
      </c>
      <c r="C274" s="50" t="s">
        <v>66</v>
      </c>
      <c r="D274" s="50" t="s">
        <v>41</v>
      </c>
      <c r="E274" s="50" t="s">
        <v>411</v>
      </c>
      <c r="F274" s="50"/>
      <c r="G274" s="204">
        <f>G275+G277+G276</f>
        <v>0</v>
      </c>
      <c r="H274" s="204"/>
      <c r="I274" s="207" t="e">
        <f t="shared" si="45"/>
        <v>#DIV/0!</v>
      </c>
      <c r="J274" s="42"/>
      <c r="K274" s="43">
        <f t="shared" si="47"/>
        <v>0</v>
      </c>
      <c r="L274" s="43">
        <f t="shared" si="48"/>
        <v>0</v>
      </c>
      <c r="M274" s="43">
        <f t="shared" si="49"/>
        <v>0</v>
      </c>
      <c r="N274" s="57">
        <f t="shared" si="50"/>
        <v>0</v>
      </c>
      <c r="O274" s="57">
        <f t="shared" si="51"/>
        <v>0</v>
      </c>
      <c r="P274" s="57">
        <f t="shared" si="52"/>
        <v>0</v>
      </c>
    </row>
    <row r="275" spans="2:16" ht="25.5" hidden="1">
      <c r="B275" s="15" t="s">
        <v>387</v>
      </c>
      <c r="C275" s="50" t="s">
        <v>66</v>
      </c>
      <c r="D275" s="50" t="s">
        <v>41</v>
      </c>
      <c r="E275" s="50" t="s">
        <v>411</v>
      </c>
      <c r="F275" s="50" t="s">
        <v>265</v>
      </c>
      <c r="G275" s="204">
        <v>0</v>
      </c>
      <c r="H275" s="204"/>
      <c r="I275" s="207" t="e">
        <f t="shared" si="45"/>
        <v>#DIV/0!</v>
      </c>
      <c r="J275" s="42">
        <v>1</v>
      </c>
      <c r="K275" s="43">
        <f t="shared" si="47"/>
        <v>0</v>
      </c>
      <c r="L275" s="43">
        <f t="shared" si="48"/>
        <v>0</v>
      </c>
      <c r="M275" s="43" t="e">
        <f t="shared" si="49"/>
        <v>#DIV/0!</v>
      </c>
      <c r="N275" s="57">
        <f t="shared" si="50"/>
        <v>0</v>
      </c>
      <c r="O275" s="57">
        <f t="shared" si="51"/>
        <v>0</v>
      </c>
      <c r="P275" s="57">
        <f t="shared" si="52"/>
        <v>0</v>
      </c>
    </row>
    <row r="276" spans="2:16" ht="25.5" hidden="1">
      <c r="B276" s="15" t="s">
        <v>504</v>
      </c>
      <c r="C276" s="50" t="s">
        <v>66</v>
      </c>
      <c r="D276" s="50" t="s">
        <v>41</v>
      </c>
      <c r="E276" s="50" t="s">
        <v>411</v>
      </c>
      <c r="F276" s="50" t="s">
        <v>20</v>
      </c>
      <c r="G276" s="204">
        <v>0</v>
      </c>
      <c r="H276" s="204"/>
      <c r="I276" s="207" t="e">
        <f t="shared" si="45"/>
        <v>#DIV/0!</v>
      </c>
      <c r="J276" s="42">
        <v>1</v>
      </c>
      <c r="K276" s="43">
        <f t="shared" si="47"/>
        <v>0</v>
      </c>
      <c r="L276" s="43">
        <f t="shared" si="48"/>
        <v>0</v>
      </c>
      <c r="M276" s="43" t="e">
        <f t="shared" si="49"/>
        <v>#DIV/0!</v>
      </c>
      <c r="N276" s="57">
        <f t="shared" si="50"/>
        <v>0</v>
      </c>
      <c r="O276" s="57">
        <f t="shared" si="51"/>
        <v>0</v>
      </c>
      <c r="P276" s="57">
        <f t="shared" si="52"/>
        <v>0</v>
      </c>
    </row>
    <row r="277" spans="2:16" ht="25.5" hidden="1">
      <c r="B277" s="15" t="s">
        <v>388</v>
      </c>
      <c r="C277" s="50" t="s">
        <v>66</v>
      </c>
      <c r="D277" s="50" t="s">
        <v>41</v>
      </c>
      <c r="E277" s="50" t="s">
        <v>411</v>
      </c>
      <c r="F277" s="50" t="s">
        <v>265</v>
      </c>
      <c r="G277" s="204">
        <v>0</v>
      </c>
      <c r="H277" s="204"/>
      <c r="I277" s="207" t="e">
        <f t="shared" si="45"/>
        <v>#DIV/0!</v>
      </c>
      <c r="J277" s="42">
        <v>2</v>
      </c>
      <c r="K277" s="43">
        <f t="shared" si="47"/>
        <v>0</v>
      </c>
      <c r="L277" s="43">
        <f t="shared" si="48"/>
        <v>0</v>
      </c>
      <c r="M277" s="43">
        <f t="shared" si="49"/>
        <v>0</v>
      </c>
      <c r="N277" s="57">
        <f t="shared" si="50"/>
        <v>0</v>
      </c>
      <c r="O277" s="57">
        <f t="shared" si="51"/>
        <v>0</v>
      </c>
      <c r="P277" s="57" t="e">
        <f t="shared" si="52"/>
        <v>#DIV/0!</v>
      </c>
    </row>
    <row r="278" spans="2:16" hidden="1">
      <c r="B278" s="15" t="s">
        <v>76</v>
      </c>
      <c r="C278" s="50" t="s">
        <v>66</v>
      </c>
      <c r="D278" s="50" t="s">
        <v>41</v>
      </c>
      <c r="E278" s="50" t="s">
        <v>139</v>
      </c>
      <c r="F278" s="50"/>
      <c r="G278" s="204">
        <f>G279</f>
        <v>0</v>
      </c>
      <c r="H278" s="204"/>
      <c r="I278" s="207" t="e">
        <f t="shared" si="45"/>
        <v>#DIV/0!</v>
      </c>
      <c r="J278" s="42"/>
      <c r="K278" s="43">
        <f t="shared" si="47"/>
        <v>0</v>
      </c>
      <c r="L278" s="43">
        <f t="shared" si="48"/>
        <v>0</v>
      </c>
      <c r="M278" s="43">
        <f t="shared" si="49"/>
        <v>0</v>
      </c>
      <c r="N278" s="57">
        <f t="shared" si="50"/>
        <v>0</v>
      </c>
      <c r="O278" s="57">
        <f t="shared" si="51"/>
        <v>0</v>
      </c>
      <c r="P278" s="57">
        <f t="shared" si="52"/>
        <v>0</v>
      </c>
    </row>
    <row r="279" spans="2:16" ht="25.5" hidden="1">
      <c r="B279" s="15" t="s">
        <v>524</v>
      </c>
      <c r="C279" s="50" t="s">
        <v>66</v>
      </c>
      <c r="D279" s="50" t="s">
        <v>41</v>
      </c>
      <c r="E279" s="50" t="s">
        <v>520</v>
      </c>
      <c r="F279" s="50"/>
      <c r="G279" s="204">
        <f>G280</f>
        <v>0</v>
      </c>
      <c r="H279" s="204"/>
      <c r="I279" s="207" t="e">
        <f t="shared" si="45"/>
        <v>#DIV/0!</v>
      </c>
      <c r="J279" s="42"/>
      <c r="K279" s="43">
        <f t="shared" si="47"/>
        <v>0</v>
      </c>
      <c r="L279" s="43">
        <f t="shared" si="48"/>
        <v>0</v>
      </c>
      <c r="M279" s="43">
        <f t="shared" si="49"/>
        <v>0</v>
      </c>
      <c r="N279" s="57">
        <f t="shared" si="50"/>
        <v>0</v>
      </c>
      <c r="O279" s="57">
        <f t="shared" si="51"/>
        <v>0</v>
      </c>
      <c r="P279" s="57">
        <f t="shared" si="52"/>
        <v>0</v>
      </c>
    </row>
    <row r="280" spans="2:16" hidden="1">
      <c r="B280" s="15" t="s">
        <v>523</v>
      </c>
      <c r="C280" s="50" t="s">
        <v>66</v>
      </c>
      <c r="D280" s="50" t="s">
        <v>41</v>
      </c>
      <c r="E280" s="50" t="s">
        <v>520</v>
      </c>
      <c r="F280" s="50" t="s">
        <v>20</v>
      </c>
      <c r="G280" s="204">
        <v>0</v>
      </c>
      <c r="H280" s="204"/>
      <c r="I280" s="207" t="e">
        <f t="shared" si="45"/>
        <v>#DIV/0!</v>
      </c>
      <c r="J280" s="42">
        <v>1</v>
      </c>
      <c r="K280" s="43">
        <f t="shared" si="47"/>
        <v>0</v>
      </c>
      <c r="L280" s="43">
        <f t="shared" si="48"/>
        <v>0</v>
      </c>
      <c r="M280" s="43" t="e">
        <f t="shared" si="49"/>
        <v>#DIV/0!</v>
      </c>
      <c r="N280" s="57">
        <f t="shared" si="50"/>
        <v>0</v>
      </c>
      <c r="O280" s="57">
        <f t="shared" si="51"/>
        <v>0</v>
      </c>
      <c r="P280" s="57">
        <f t="shared" si="52"/>
        <v>0</v>
      </c>
    </row>
    <row r="281" spans="2:16">
      <c r="B281" s="14" t="s">
        <v>40</v>
      </c>
      <c r="C281" s="11" t="s">
        <v>66</v>
      </c>
      <c r="D281" s="11" t="s">
        <v>41</v>
      </c>
      <c r="E281" s="11"/>
      <c r="F281" s="11"/>
      <c r="G281" s="203">
        <f>G282</f>
        <v>150</v>
      </c>
      <c r="H281" s="203">
        <v>149.9</v>
      </c>
      <c r="I281" s="207">
        <f t="shared" si="45"/>
        <v>0.99933333333333341</v>
      </c>
      <c r="J281" s="42"/>
      <c r="K281" s="43"/>
      <c r="L281" s="43"/>
      <c r="M281" s="43"/>
      <c r="N281" s="57"/>
      <c r="O281" s="57"/>
      <c r="P281" s="57"/>
    </row>
    <row r="282" spans="2:16" ht="25.5">
      <c r="B282" s="15" t="s">
        <v>938</v>
      </c>
      <c r="C282" s="50" t="s">
        <v>66</v>
      </c>
      <c r="D282" s="50" t="s">
        <v>41</v>
      </c>
      <c r="E282" s="50" t="s">
        <v>211</v>
      </c>
      <c r="F282" s="50"/>
      <c r="G282" s="204">
        <f>G283</f>
        <v>150</v>
      </c>
      <c r="H282" s="204">
        <v>149.9</v>
      </c>
      <c r="I282" s="212">
        <f t="shared" si="45"/>
        <v>0.99933333333333341</v>
      </c>
      <c r="J282" s="42"/>
      <c r="K282" s="43"/>
      <c r="L282" s="43"/>
      <c r="M282" s="43"/>
      <c r="N282" s="57"/>
      <c r="O282" s="57"/>
      <c r="P282" s="57"/>
    </row>
    <row r="283" spans="2:16">
      <c r="B283" s="15" t="s">
        <v>19</v>
      </c>
      <c r="C283" s="50" t="s">
        <v>66</v>
      </c>
      <c r="D283" s="50" t="s">
        <v>41</v>
      </c>
      <c r="E283" s="50" t="s">
        <v>211</v>
      </c>
      <c r="F283" s="50" t="s">
        <v>20</v>
      </c>
      <c r="G283" s="204">
        <f>150</f>
        <v>150</v>
      </c>
      <c r="H283" s="204">
        <v>149.9</v>
      </c>
      <c r="I283" s="212">
        <f t="shared" ref="I283:I346" si="53">H283/G283</f>
        <v>0.99933333333333341</v>
      </c>
      <c r="J283" s="42"/>
      <c r="K283" s="43"/>
      <c r="L283" s="43"/>
      <c r="M283" s="43"/>
      <c r="N283" s="57"/>
      <c r="O283" s="57"/>
      <c r="P283" s="57"/>
    </row>
    <row r="284" spans="2:16">
      <c r="B284" s="14" t="s">
        <v>42</v>
      </c>
      <c r="C284" s="11" t="s">
        <v>66</v>
      </c>
      <c r="D284" s="11" t="s">
        <v>43</v>
      </c>
      <c r="E284" s="50"/>
      <c r="F284" s="50"/>
      <c r="G284" s="203">
        <f>G285+G287+G289+G293</f>
        <v>1194.2</v>
      </c>
      <c r="H284" s="203">
        <v>1181.3</v>
      </c>
      <c r="I284" s="207">
        <f t="shared" si="53"/>
        <v>0.98919778931502256</v>
      </c>
      <c r="J284" s="42"/>
      <c r="K284" s="43">
        <f t="shared" si="47"/>
        <v>0</v>
      </c>
      <c r="L284" s="43">
        <f t="shared" si="48"/>
        <v>0</v>
      </c>
      <c r="M284" s="43">
        <f t="shared" si="49"/>
        <v>0</v>
      </c>
      <c r="N284" s="57">
        <f t="shared" si="50"/>
        <v>0</v>
      </c>
      <c r="O284" s="57">
        <f t="shared" si="51"/>
        <v>0</v>
      </c>
      <c r="P284" s="57">
        <f t="shared" si="52"/>
        <v>0</v>
      </c>
    </row>
    <row r="285" spans="2:16" ht="38.25">
      <c r="B285" s="15" t="s">
        <v>613</v>
      </c>
      <c r="C285" s="50" t="s">
        <v>66</v>
      </c>
      <c r="D285" s="50" t="s">
        <v>43</v>
      </c>
      <c r="E285" s="50" t="s">
        <v>614</v>
      </c>
      <c r="F285" s="50"/>
      <c r="G285" s="204">
        <f>G286</f>
        <v>1194.2</v>
      </c>
      <c r="H285" s="204">
        <v>1181.3</v>
      </c>
      <c r="I285" s="212">
        <f t="shared" si="53"/>
        <v>0.98919778931502256</v>
      </c>
      <c r="J285" s="42"/>
      <c r="K285" s="43">
        <f t="shared" si="47"/>
        <v>0</v>
      </c>
      <c r="L285" s="43">
        <f t="shared" si="48"/>
        <v>0</v>
      </c>
      <c r="M285" s="43">
        <f t="shared" si="49"/>
        <v>0</v>
      </c>
      <c r="N285" s="57">
        <f t="shared" si="50"/>
        <v>0</v>
      </c>
      <c r="O285" s="57">
        <f t="shared" si="51"/>
        <v>0</v>
      </c>
      <c r="P285" s="57">
        <f t="shared" si="52"/>
        <v>0</v>
      </c>
    </row>
    <row r="286" spans="2:16" ht="11.25" customHeight="1">
      <c r="B286" s="15" t="s">
        <v>19</v>
      </c>
      <c r="C286" s="50" t="s">
        <v>66</v>
      </c>
      <c r="D286" s="50" t="s">
        <v>43</v>
      </c>
      <c r="E286" s="50" t="s">
        <v>614</v>
      </c>
      <c r="F286" s="50" t="s">
        <v>20</v>
      </c>
      <c r="G286" s="204">
        <f>4400+850-3500-155.8-400</f>
        <v>1194.2</v>
      </c>
      <c r="H286" s="204">
        <v>1181.3</v>
      </c>
      <c r="I286" s="212">
        <f t="shared" si="53"/>
        <v>0.98919778931502256</v>
      </c>
      <c r="J286" s="42">
        <v>1</v>
      </c>
      <c r="K286" s="43">
        <f t="shared" si="47"/>
        <v>1194.2</v>
      </c>
      <c r="L286" s="43">
        <f t="shared" si="48"/>
        <v>1181.3</v>
      </c>
      <c r="M286" s="43">
        <f t="shared" si="49"/>
        <v>0.98919778931502256</v>
      </c>
      <c r="N286" s="57">
        <f t="shared" si="50"/>
        <v>0</v>
      </c>
      <c r="O286" s="57">
        <f t="shared" si="51"/>
        <v>0</v>
      </c>
      <c r="P286" s="57">
        <f t="shared" si="52"/>
        <v>0</v>
      </c>
    </row>
    <row r="287" spans="2:16" ht="51" hidden="1">
      <c r="B287" s="16" t="s">
        <v>640</v>
      </c>
      <c r="C287" s="50" t="s">
        <v>66</v>
      </c>
      <c r="D287" s="50" t="s">
        <v>43</v>
      </c>
      <c r="E287" s="50" t="s">
        <v>616</v>
      </c>
      <c r="F287" s="50"/>
      <c r="G287" s="204">
        <f>G288</f>
        <v>0</v>
      </c>
      <c r="H287" s="204">
        <v>0</v>
      </c>
      <c r="I287" s="207" t="e">
        <f t="shared" si="53"/>
        <v>#DIV/0!</v>
      </c>
      <c r="J287" s="42"/>
      <c r="K287" s="43">
        <f t="shared" si="47"/>
        <v>0</v>
      </c>
      <c r="L287" s="43">
        <f t="shared" si="48"/>
        <v>0</v>
      </c>
      <c r="M287" s="43">
        <f t="shared" si="49"/>
        <v>0</v>
      </c>
      <c r="N287" s="57">
        <f t="shared" si="50"/>
        <v>0</v>
      </c>
      <c r="O287" s="57">
        <f t="shared" si="51"/>
        <v>0</v>
      </c>
      <c r="P287" s="57">
        <f t="shared" si="52"/>
        <v>0</v>
      </c>
    </row>
    <row r="288" spans="2:16" hidden="1">
      <c r="B288" s="15" t="s">
        <v>19</v>
      </c>
      <c r="C288" s="50" t="s">
        <v>66</v>
      </c>
      <c r="D288" s="50" t="s">
        <v>43</v>
      </c>
      <c r="E288" s="50" t="s">
        <v>616</v>
      </c>
      <c r="F288" s="50" t="s">
        <v>20</v>
      </c>
      <c r="G288" s="204">
        <f>850-850</f>
        <v>0</v>
      </c>
      <c r="H288" s="204">
        <v>0</v>
      </c>
      <c r="I288" s="207" t="e">
        <f t="shared" si="53"/>
        <v>#DIV/0!</v>
      </c>
      <c r="J288" s="42">
        <v>1</v>
      </c>
      <c r="K288" s="43">
        <f t="shared" si="47"/>
        <v>0</v>
      </c>
      <c r="L288" s="43">
        <f t="shared" si="48"/>
        <v>0</v>
      </c>
      <c r="M288" s="43" t="e">
        <f t="shared" si="49"/>
        <v>#DIV/0!</v>
      </c>
      <c r="N288" s="57">
        <f t="shared" si="50"/>
        <v>0</v>
      </c>
      <c r="O288" s="57">
        <f t="shared" si="51"/>
        <v>0</v>
      </c>
      <c r="P288" s="57">
        <f t="shared" si="52"/>
        <v>0</v>
      </c>
    </row>
    <row r="289" spans="1:16" hidden="1">
      <c r="B289" s="26" t="s">
        <v>731</v>
      </c>
      <c r="C289" s="11" t="s">
        <v>66</v>
      </c>
      <c r="D289" s="11" t="s">
        <v>43</v>
      </c>
      <c r="E289" s="11" t="s">
        <v>526</v>
      </c>
      <c r="F289" s="11"/>
      <c r="G289" s="203">
        <f>G290</f>
        <v>0</v>
      </c>
      <c r="H289" s="203">
        <v>0</v>
      </c>
      <c r="I289" s="207" t="e">
        <f t="shared" si="53"/>
        <v>#DIV/0!</v>
      </c>
      <c r="J289" s="42"/>
      <c r="K289" s="43">
        <f t="shared" si="47"/>
        <v>0</v>
      </c>
      <c r="L289" s="43">
        <f t="shared" si="48"/>
        <v>0</v>
      </c>
      <c r="M289" s="43">
        <f t="shared" si="49"/>
        <v>0</v>
      </c>
      <c r="N289" s="57">
        <f t="shared" si="50"/>
        <v>0</v>
      </c>
      <c r="O289" s="57">
        <f t="shared" si="51"/>
        <v>0</v>
      </c>
      <c r="P289" s="57">
        <f t="shared" si="52"/>
        <v>0</v>
      </c>
    </row>
    <row r="290" spans="1:16" hidden="1">
      <c r="B290" s="15" t="s">
        <v>753</v>
      </c>
      <c r="C290" s="50" t="s">
        <v>66</v>
      </c>
      <c r="D290" s="50" t="s">
        <v>43</v>
      </c>
      <c r="E290" s="50" t="s">
        <v>526</v>
      </c>
      <c r="F290" s="50" t="s">
        <v>265</v>
      </c>
      <c r="G290" s="204">
        <f>G291+G292</f>
        <v>0</v>
      </c>
      <c r="H290" s="204">
        <v>0</v>
      </c>
      <c r="I290" s="207" t="e">
        <f t="shared" si="53"/>
        <v>#DIV/0!</v>
      </c>
      <c r="J290" s="42"/>
      <c r="K290" s="43">
        <f t="shared" si="47"/>
        <v>0</v>
      </c>
      <c r="L290" s="43">
        <f t="shared" si="48"/>
        <v>0</v>
      </c>
      <c r="M290" s="43">
        <f t="shared" si="49"/>
        <v>0</v>
      </c>
      <c r="N290" s="57">
        <f t="shared" si="50"/>
        <v>0</v>
      </c>
      <c r="O290" s="57">
        <f t="shared" si="51"/>
        <v>0</v>
      </c>
      <c r="P290" s="57">
        <f t="shared" si="52"/>
        <v>0</v>
      </c>
    </row>
    <row r="291" spans="1:16" ht="27.75" hidden="1" customHeight="1">
      <c r="B291" s="15" t="s">
        <v>804</v>
      </c>
      <c r="C291" s="50" t="s">
        <v>66</v>
      </c>
      <c r="D291" s="50" t="s">
        <v>43</v>
      </c>
      <c r="E291" s="50" t="s">
        <v>657</v>
      </c>
      <c r="F291" s="50" t="s">
        <v>265</v>
      </c>
      <c r="G291" s="204">
        <v>0</v>
      </c>
      <c r="H291" s="204">
        <v>0</v>
      </c>
      <c r="I291" s="207" t="e">
        <f t="shared" si="53"/>
        <v>#DIV/0!</v>
      </c>
      <c r="J291" s="42">
        <v>1</v>
      </c>
      <c r="K291" s="43">
        <f t="shared" si="47"/>
        <v>0</v>
      </c>
      <c r="L291" s="43">
        <f t="shared" si="48"/>
        <v>0</v>
      </c>
      <c r="M291" s="43" t="e">
        <f t="shared" si="49"/>
        <v>#DIV/0!</v>
      </c>
      <c r="N291" s="57">
        <f t="shared" si="50"/>
        <v>0</v>
      </c>
      <c r="O291" s="57">
        <f t="shared" si="51"/>
        <v>0</v>
      </c>
      <c r="P291" s="57">
        <f t="shared" si="52"/>
        <v>0</v>
      </c>
    </row>
    <row r="292" spans="1:16" ht="25.5" hidden="1">
      <c r="B292" s="15" t="s">
        <v>738</v>
      </c>
      <c r="C292" s="50" t="s">
        <v>66</v>
      </c>
      <c r="D292" s="50" t="s">
        <v>43</v>
      </c>
      <c r="E292" s="50" t="s">
        <v>659</v>
      </c>
      <c r="F292" s="50" t="s">
        <v>265</v>
      </c>
      <c r="G292" s="204"/>
      <c r="H292" s="204"/>
      <c r="I292" s="207" t="e">
        <f t="shared" si="53"/>
        <v>#DIV/0!</v>
      </c>
      <c r="J292" s="42">
        <v>1</v>
      </c>
      <c r="K292" s="43">
        <f t="shared" si="47"/>
        <v>0</v>
      </c>
      <c r="L292" s="43">
        <f t="shared" si="48"/>
        <v>0</v>
      </c>
      <c r="M292" s="43" t="e">
        <f t="shared" si="49"/>
        <v>#DIV/0!</v>
      </c>
      <c r="N292" s="57">
        <f t="shared" si="50"/>
        <v>0</v>
      </c>
      <c r="O292" s="57">
        <f t="shared" si="51"/>
        <v>0</v>
      </c>
      <c r="P292" s="57">
        <f t="shared" si="52"/>
        <v>0</v>
      </c>
    </row>
    <row r="293" spans="1:16" ht="38.25" hidden="1">
      <c r="B293" s="14" t="s">
        <v>712</v>
      </c>
      <c r="C293" s="11" t="s">
        <v>66</v>
      </c>
      <c r="D293" s="11" t="s">
        <v>43</v>
      </c>
      <c r="E293" s="11" t="s">
        <v>670</v>
      </c>
      <c r="F293" s="11"/>
      <c r="G293" s="203">
        <f>G294</f>
        <v>0</v>
      </c>
      <c r="H293" s="203"/>
      <c r="I293" s="207" t="e">
        <f t="shared" si="53"/>
        <v>#DIV/0!</v>
      </c>
      <c r="J293" s="42"/>
      <c r="K293" s="43">
        <f t="shared" si="47"/>
        <v>0</v>
      </c>
      <c r="L293" s="43">
        <f t="shared" si="48"/>
        <v>0</v>
      </c>
      <c r="M293" s="43">
        <f t="shared" si="49"/>
        <v>0</v>
      </c>
      <c r="N293" s="57">
        <f t="shared" si="50"/>
        <v>0</v>
      </c>
      <c r="O293" s="57">
        <f t="shared" si="51"/>
        <v>0</v>
      </c>
      <c r="P293" s="57">
        <f t="shared" si="52"/>
        <v>0</v>
      </c>
    </row>
    <row r="294" spans="1:16" ht="25.5" hidden="1">
      <c r="B294" s="15" t="s">
        <v>715</v>
      </c>
      <c r="C294" s="50" t="s">
        <v>66</v>
      </c>
      <c r="D294" s="50" t="s">
        <v>43</v>
      </c>
      <c r="E294" s="50" t="s">
        <v>675</v>
      </c>
      <c r="F294" s="50" t="s">
        <v>20</v>
      </c>
      <c r="G294" s="204">
        <v>0</v>
      </c>
      <c r="H294" s="204"/>
      <c r="I294" s="207" t="e">
        <f t="shared" si="53"/>
        <v>#DIV/0!</v>
      </c>
      <c r="J294" s="42">
        <v>1</v>
      </c>
      <c r="K294" s="43">
        <f t="shared" si="47"/>
        <v>0</v>
      </c>
      <c r="L294" s="43">
        <f t="shared" si="48"/>
        <v>0</v>
      </c>
      <c r="M294" s="43" t="e">
        <f t="shared" si="49"/>
        <v>#DIV/0!</v>
      </c>
      <c r="N294" s="57">
        <f t="shared" si="50"/>
        <v>0</v>
      </c>
      <c r="O294" s="57">
        <f t="shared" si="51"/>
        <v>0</v>
      </c>
      <c r="P294" s="57">
        <f t="shared" si="52"/>
        <v>0</v>
      </c>
    </row>
    <row r="295" spans="1:16" s="6" customFormat="1">
      <c r="B295" s="63" t="s">
        <v>203</v>
      </c>
      <c r="C295" s="11" t="s">
        <v>66</v>
      </c>
      <c r="D295" s="11" t="s">
        <v>204</v>
      </c>
      <c r="E295" s="11"/>
      <c r="F295" s="11"/>
      <c r="G295" s="203">
        <f>G296</f>
        <v>6575.7</v>
      </c>
      <c r="H295" s="203">
        <v>5977.8</v>
      </c>
      <c r="I295" s="207">
        <f t="shared" si="53"/>
        <v>0.90907431908389991</v>
      </c>
      <c r="J295" s="13"/>
      <c r="K295" s="43">
        <f t="shared" si="47"/>
        <v>0</v>
      </c>
      <c r="L295" s="43">
        <f t="shared" si="48"/>
        <v>0</v>
      </c>
      <c r="M295" s="43">
        <f t="shared" si="49"/>
        <v>0</v>
      </c>
      <c r="N295" s="57">
        <f t="shared" si="50"/>
        <v>0</v>
      </c>
      <c r="O295" s="57">
        <f t="shared" si="51"/>
        <v>0</v>
      </c>
      <c r="P295" s="57">
        <f t="shared" si="52"/>
        <v>0</v>
      </c>
    </row>
    <row r="296" spans="1:16">
      <c r="B296" s="16" t="s">
        <v>731</v>
      </c>
      <c r="C296" s="50" t="s">
        <v>66</v>
      </c>
      <c r="D296" s="50" t="s">
        <v>204</v>
      </c>
      <c r="E296" s="50" t="s">
        <v>526</v>
      </c>
      <c r="F296" s="50"/>
      <c r="G296" s="204">
        <f>SUM(G297:G301)</f>
        <v>6575.7</v>
      </c>
      <c r="H296" s="204">
        <v>5977.8</v>
      </c>
      <c r="I296" s="212">
        <f t="shared" si="53"/>
        <v>0.90907431908389991</v>
      </c>
      <c r="J296" s="42"/>
      <c r="K296" s="43">
        <f t="shared" si="47"/>
        <v>0</v>
      </c>
      <c r="L296" s="43">
        <f t="shared" si="48"/>
        <v>0</v>
      </c>
      <c r="M296" s="43">
        <f t="shared" si="49"/>
        <v>0</v>
      </c>
      <c r="N296" s="57">
        <f t="shared" si="50"/>
        <v>0</v>
      </c>
      <c r="O296" s="57">
        <f t="shared" si="51"/>
        <v>0</v>
      </c>
      <c r="P296" s="57">
        <f t="shared" si="52"/>
        <v>0</v>
      </c>
    </row>
    <row r="297" spans="1:16" ht="69" hidden="1" customHeight="1">
      <c r="B297" s="158" t="s">
        <v>833</v>
      </c>
      <c r="C297" s="50" t="s">
        <v>66</v>
      </c>
      <c r="D297" s="50" t="s">
        <v>204</v>
      </c>
      <c r="E297" s="50" t="s">
        <v>658</v>
      </c>
      <c r="F297" s="50" t="s">
        <v>265</v>
      </c>
      <c r="G297" s="204">
        <f>16.6-16.6</f>
        <v>0</v>
      </c>
      <c r="H297" s="204">
        <v>0</v>
      </c>
      <c r="I297" s="212" t="e">
        <f t="shared" si="53"/>
        <v>#DIV/0!</v>
      </c>
      <c r="J297" s="42">
        <v>1</v>
      </c>
      <c r="K297" s="43">
        <f t="shared" si="47"/>
        <v>0</v>
      </c>
      <c r="L297" s="43">
        <f t="shared" si="48"/>
        <v>0</v>
      </c>
      <c r="M297" s="43" t="e">
        <f t="shared" si="49"/>
        <v>#DIV/0!</v>
      </c>
      <c r="N297" s="57">
        <f t="shared" si="50"/>
        <v>0</v>
      </c>
      <c r="O297" s="57">
        <f t="shared" si="51"/>
        <v>0</v>
      </c>
      <c r="P297" s="57">
        <f t="shared" si="52"/>
        <v>0</v>
      </c>
    </row>
    <row r="298" spans="1:16" ht="69" customHeight="1">
      <c r="B298" s="158" t="s">
        <v>833</v>
      </c>
      <c r="C298" s="50" t="s">
        <v>66</v>
      </c>
      <c r="D298" s="50" t="s">
        <v>204</v>
      </c>
      <c r="E298" s="50" t="s">
        <v>834</v>
      </c>
      <c r="F298" s="50" t="s">
        <v>265</v>
      </c>
      <c r="G298" s="204">
        <f>3321.6+16.6</f>
        <v>3338.2</v>
      </c>
      <c r="H298" s="204">
        <v>2740.4</v>
      </c>
      <c r="I298" s="212">
        <f t="shared" si="53"/>
        <v>0.82092145467617283</v>
      </c>
      <c r="J298" s="42"/>
      <c r="K298" s="43"/>
      <c r="L298" s="43"/>
      <c r="M298" s="43"/>
      <c r="N298" s="57"/>
      <c r="O298" s="57"/>
      <c r="P298" s="57"/>
    </row>
    <row r="299" spans="1:16" ht="25.5" hidden="1">
      <c r="A299" s="15" t="s">
        <v>805</v>
      </c>
      <c r="B299" s="15" t="s">
        <v>742</v>
      </c>
      <c r="C299" s="50" t="s">
        <v>66</v>
      </c>
      <c r="D299" s="50" t="s">
        <v>204</v>
      </c>
      <c r="E299" s="50" t="s">
        <v>663</v>
      </c>
      <c r="F299" s="50" t="s">
        <v>265</v>
      </c>
      <c r="G299" s="117">
        <v>0</v>
      </c>
      <c r="H299" s="117">
        <v>0</v>
      </c>
      <c r="I299" s="212" t="e">
        <f t="shared" si="53"/>
        <v>#DIV/0!</v>
      </c>
      <c r="J299" s="42">
        <v>1</v>
      </c>
      <c r="K299" s="43">
        <f t="shared" si="47"/>
        <v>0</v>
      </c>
      <c r="L299" s="43">
        <f t="shared" si="48"/>
        <v>0</v>
      </c>
      <c r="M299" s="43" t="e">
        <f t="shared" si="49"/>
        <v>#DIV/0!</v>
      </c>
      <c r="N299" s="57">
        <f t="shared" si="50"/>
        <v>0</v>
      </c>
      <c r="O299" s="57">
        <f t="shared" si="51"/>
        <v>0</v>
      </c>
      <c r="P299" s="57">
        <f t="shared" si="52"/>
        <v>0</v>
      </c>
    </row>
    <row r="300" spans="1:16" ht="38.25" hidden="1">
      <c r="B300" s="56" t="s">
        <v>745</v>
      </c>
      <c r="C300" s="50" t="s">
        <v>66</v>
      </c>
      <c r="D300" s="50" t="s">
        <v>204</v>
      </c>
      <c r="E300" s="50" t="s">
        <v>666</v>
      </c>
      <c r="F300" s="50" t="s">
        <v>20</v>
      </c>
      <c r="G300" s="117">
        <f>7.2+3230.3-7.2-3230.3</f>
        <v>0</v>
      </c>
      <c r="H300" s="117">
        <v>0</v>
      </c>
      <c r="I300" s="212" t="e">
        <f t="shared" si="53"/>
        <v>#DIV/0!</v>
      </c>
      <c r="J300" s="42">
        <v>1</v>
      </c>
      <c r="K300" s="43">
        <f t="shared" si="47"/>
        <v>0</v>
      </c>
      <c r="L300" s="43">
        <f t="shared" si="48"/>
        <v>0</v>
      </c>
      <c r="M300" s="43" t="e">
        <f t="shared" si="49"/>
        <v>#DIV/0!</v>
      </c>
      <c r="N300" s="57">
        <f t="shared" si="50"/>
        <v>0</v>
      </c>
      <c r="O300" s="57">
        <f t="shared" si="51"/>
        <v>0</v>
      </c>
      <c r="P300" s="57">
        <f t="shared" si="52"/>
        <v>0</v>
      </c>
    </row>
    <row r="301" spans="1:16" s="137" customFormat="1" ht="38.25">
      <c r="B301" s="56" t="s">
        <v>745</v>
      </c>
      <c r="C301" s="50" t="s">
        <v>66</v>
      </c>
      <c r="D301" s="50" t="s">
        <v>204</v>
      </c>
      <c r="E301" s="50" t="s">
        <v>842</v>
      </c>
      <c r="F301" s="50" t="s">
        <v>20</v>
      </c>
      <c r="G301" s="117">
        <f>7.2+3230.3</f>
        <v>3237.5</v>
      </c>
      <c r="H301" s="117">
        <v>3237.4</v>
      </c>
      <c r="I301" s="212">
        <f t="shared" si="53"/>
        <v>0.99996911196911198</v>
      </c>
      <c r="J301" s="138"/>
      <c r="K301" s="148"/>
      <c r="L301" s="148"/>
      <c r="M301" s="148"/>
      <c r="N301" s="149"/>
      <c r="O301" s="149"/>
      <c r="P301" s="149"/>
    </row>
    <row r="302" spans="1:16" s="6" customFormat="1">
      <c r="B302" s="154" t="s">
        <v>755</v>
      </c>
      <c r="C302" s="11" t="s">
        <v>66</v>
      </c>
      <c r="D302" s="11" t="s">
        <v>669</v>
      </c>
      <c r="E302" s="11"/>
      <c r="F302" s="11"/>
      <c r="G302" s="119">
        <f>G303</f>
        <v>30</v>
      </c>
      <c r="H302" s="119">
        <v>0</v>
      </c>
      <c r="I302" s="207">
        <f t="shared" si="53"/>
        <v>0</v>
      </c>
      <c r="J302" s="13"/>
      <c r="K302" s="43">
        <f t="shared" si="47"/>
        <v>0</v>
      </c>
      <c r="L302" s="43">
        <f t="shared" si="48"/>
        <v>0</v>
      </c>
      <c r="M302" s="43">
        <f t="shared" si="49"/>
        <v>0</v>
      </c>
      <c r="N302" s="57">
        <f t="shared" si="50"/>
        <v>0</v>
      </c>
      <c r="O302" s="57">
        <f t="shared" si="51"/>
        <v>0</v>
      </c>
      <c r="P302" s="57">
        <f t="shared" si="52"/>
        <v>0</v>
      </c>
    </row>
    <row r="303" spans="1:16" ht="38.25">
      <c r="B303" s="62" t="s">
        <v>712</v>
      </c>
      <c r="C303" s="50" t="s">
        <v>66</v>
      </c>
      <c r="D303" s="50" t="s">
        <v>669</v>
      </c>
      <c r="E303" s="50" t="s">
        <v>670</v>
      </c>
      <c r="F303" s="50"/>
      <c r="G303" s="117">
        <f>G304+G305</f>
        <v>30</v>
      </c>
      <c r="H303" s="117">
        <v>0</v>
      </c>
      <c r="I303" s="212">
        <f t="shared" si="53"/>
        <v>0</v>
      </c>
      <c r="J303" s="42"/>
      <c r="K303" s="43">
        <f t="shared" si="47"/>
        <v>0</v>
      </c>
      <c r="L303" s="43">
        <f t="shared" si="48"/>
        <v>0</v>
      </c>
      <c r="M303" s="43">
        <f t="shared" si="49"/>
        <v>0</v>
      </c>
      <c r="N303" s="57">
        <f t="shared" si="50"/>
        <v>0</v>
      </c>
      <c r="O303" s="57">
        <f t="shared" si="51"/>
        <v>0</v>
      </c>
      <c r="P303" s="57">
        <f t="shared" si="52"/>
        <v>0</v>
      </c>
    </row>
    <row r="304" spans="1:16" ht="51" hidden="1">
      <c r="B304" s="15" t="s">
        <v>713</v>
      </c>
      <c r="C304" s="50" t="s">
        <v>66</v>
      </c>
      <c r="D304" s="50" t="s">
        <v>669</v>
      </c>
      <c r="E304" s="50" t="s">
        <v>671</v>
      </c>
      <c r="F304" s="50" t="s">
        <v>20</v>
      </c>
      <c r="G304" s="117">
        <v>0</v>
      </c>
      <c r="H304" s="117"/>
      <c r="I304" s="212" t="e">
        <f t="shared" si="53"/>
        <v>#DIV/0!</v>
      </c>
      <c r="J304" s="42">
        <v>1</v>
      </c>
      <c r="K304" s="43">
        <f t="shared" si="47"/>
        <v>0</v>
      </c>
      <c r="L304" s="43">
        <f t="shared" si="48"/>
        <v>0</v>
      </c>
      <c r="M304" s="43" t="e">
        <f t="shared" si="49"/>
        <v>#DIV/0!</v>
      </c>
      <c r="N304" s="57">
        <f t="shared" si="50"/>
        <v>0</v>
      </c>
      <c r="O304" s="57">
        <f t="shared" si="51"/>
        <v>0</v>
      </c>
      <c r="P304" s="57">
        <f t="shared" si="52"/>
        <v>0</v>
      </c>
    </row>
    <row r="305" spans="2:16" ht="25.5">
      <c r="B305" s="15" t="s">
        <v>716</v>
      </c>
      <c r="C305" s="50" t="s">
        <v>66</v>
      </c>
      <c r="D305" s="50" t="s">
        <v>669</v>
      </c>
      <c r="E305" s="50" t="s">
        <v>672</v>
      </c>
      <c r="F305" s="50" t="s">
        <v>20</v>
      </c>
      <c r="G305" s="117">
        <v>30</v>
      </c>
      <c r="H305" s="117">
        <v>0</v>
      </c>
      <c r="I305" s="212">
        <f t="shared" si="53"/>
        <v>0</v>
      </c>
      <c r="J305" s="42">
        <v>1</v>
      </c>
      <c r="K305" s="43">
        <f t="shared" si="47"/>
        <v>30</v>
      </c>
      <c r="L305" s="43">
        <f t="shared" si="48"/>
        <v>0</v>
      </c>
      <c r="M305" s="43">
        <f t="shared" si="49"/>
        <v>0</v>
      </c>
      <c r="N305" s="57">
        <f t="shared" si="50"/>
        <v>0</v>
      </c>
      <c r="O305" s="57">
        <f t="shared" si="51"/>
        <v>0</v>
      </c>
      <c r="P305" s="57">
        <f t="shared" si="52"/>
        <v>0</v>
      </c>
    </row>
    <row r="306" spans="2:16" s="6" customFormat="1" ht="14.25" customHeight="1">
      <c r="B306" s="14" t="s">
        <v>756</v>
      </c>
      <c r="C306" s="11" t="s">
        <v>66</v>
      </c>
      <c r="D306" s="11" t="s">
        <v>673</v>
      </c>
      <c r="E306" s="11"/>
      <c r="F306" s="11"/>
      <c r="G306" s="119">
        <f>G307</f>
        <v>24</v>
      </c>
      <c r="H306" s="119">
        <v>3</v>
      </c>
      <c r="I306" s="207">
        <f t="shared" si="53"/>
        <v>0.125</v>
      </c>
      <c r="J306" s="13"/>
      <c r="K306" s="43">
        <f t="shared" si="47"/>
        <v>0</v>
      </c>
      <c r="L306" s="43">
        <f t="shared" si="48"/>
        <v>0</v>
      </c>
      <c r="M306" s="43">
        <f t="shared" si="49"/>
        <v>0</v>
      </c>
      <c r="N306" s="57">
        <f t="shared" si="50"/>
        <v>0</v>
      </c>
      <c r="O306" s="57">
        <f t="shared" si="51"/>
        <v>0</v>
      </c>
      <c r="P306" s="57">
        <f t="shared" si="52"/>
        <v>0</v>
      </c>
    </row>
    <row r="307" spans="2:16" ht="38.25">
      <c r="B307" s="15" t="s">
        <v>712</v>
      </c>
      <c r="C307" s="50" t="s">
        <v>66</v>
      </c>
      <c r="D307" s="50" t="s">
        <v>673</v>
      </c>
      <c r="E307" s="50" t="s">
        <v>670</v>
      </c>
      <c r="F307" s="50"/>
      <c r="G307" s="117">
        <f>G308</f>
        <v>24</v>
      </c>
      <c r="H307" s="117">
        <v>3</v>
      </c>
      <c r="I307" s="212">
        <f t="shared" si="53"/>
        <v>0.125</v>
      </c>
      <c r="J307" s="42"/>
      <c r="K307" s="43">
        <f t="shared" si="47"/>
        <v>0</v>
      </c>
      <c r="L307" s="43">
        <f t="shared" si="48"/>
        <v>0</v>
      </c>
      <c r="M307" s="43">
        <f t="shared" si="49"/>
        <v>0</v>
      </c>
      <c r="N307" s="57">
        <f t="shared" si="50"/>
        <v>0</v>
      </c>
      <c r="O307" s="57">
        <f t="shared" si="51"/>
        <v>0</v>
      </c>
      <c r="P307" s="57">
        <f t="shared" si="52"/>
        <v>0</v>
      </c>
    </row>
    <row r="308" spans="2:16" ht="51">
      <c r="B308" s="15" t="s">
        <v>714</v>
      </c>
      <c r="C308" s="50" t="s">
        <v>66</v>
      </c>
      <c r="D308" s="50" t="s">
        <v>673</v>
      </c>
      <c r="E308" s="50" t="s">
        <v>674</v>
      </c>
      <c r="F308" s="50" t="s">
        <v>26</v>
      </c>
      <c r="G308" s="117">
        <v>24</v>
      </c>
      <c r="H308" s="117">
        <v>3</v>
      </c>
      <c r="I308" s="212">
        <f t="shared" si="53"/>
        <v>0.125</v>
      </c>
      <c r="J308" s="42">
        <v>1</v>
      </c>
      <c r="K308" s="43">
        <f t="shared" si="47"/>
        <v>24</v>
      </c>
      <c r="L308" s="43">
        <f t="shared" si="48"/>
        <v>3</v>
      </c>
      <c r="M308" s="43">
        <f t="shared" si="49"/>
        <v>0.125</v>
      </c>
      <c r="N308" s="57">
        <f t="shared" si="50"/>
        <v>0</v>
      </c>
      <c r="O308" s="57">
        <f t="shared" si="51"/>
        <v>0</v>
      </c>
      <c r="P308" s="57">
        <f t="shared" si="52"/>
        <v>0</v>
      </c>
    </row>
    <row r="309" spans="2:16">
      <c r="B309" s="14" t="s">
        <v>50</v>
      </c>
      <c r="C309" s="11" t="s">
        <v>66</v>
      </c>
      <c r="D309" s="11" t="s">
        <v>51</v>
      </c>
      <c r="E309" s="11"/>
      <c r="F309" s="11"/>
      <c r="G309" s="203">
        <f>G310+G319</f>
        <v>976.7</v>
      </c>
      <c r="H309" s="203">
        <v>804.8</v>
      </c>
      <c r="I309" s="207">
        <f t="shared" si="53"/>
        <v>0.82399918091532709</v>
      </c>
      <c r="J309" s="42"/>
      <c r="K309" s="43">
        <f t="shared" si="47"/>
        <v>0</v>
      </c>
      <c r="L309" s="43">
        <f t="shared" si="48"/>
        <v>0</v>
      </c>
      <c r="M309" s="43">
        <f t="shared" si="49"/>
        <v>0</v>
      </c>
      <c r="N309" s="57">
        <f t="shared" si="50"/>
        <v>0</v>
      </c>
      <c r="O309" s="57">
        <f t="shared" si="51"/>
        <v>0</v>
      </c>
      <c r="P309" s="57">
        <f t="shared" si="52"/>
        <v>0</v>
      </c>
    </row>
    <row r="310" spans="2:16">
      <c r="B310" s="15" t="s">
        <v>76</v>
      </c>
      <c r="C310" s="50" t="s">
        <v>66</v>
      </c>
      <c r="D310" s="50" t="s">
        <v>51</v>
      </c>
      <c r="E310" s="50" t="s">
        <v>139</v>
      </c>
      <c r="F310" s="50"/>
      <c r="G310" s="204">
        <f>G311+G316</f>
        <v>972.5</v>
      </c>
      <c r="H310" s="204">
        <v>799.6</v>
      </c>
      <c r="I310" s="212">
        <f t="shared" si="53"/>
        <v>0.82221079691516707</v>
      </c>
      <c r="J310" s="42"/>
      <c r="K310" s="43">
        <f t="shared" si="47"/>
        <v>0</v>
      </c>
      <c r="L310" s="43">
        <f t="shared" si="48"/>
        <v>0</v>
      </c>
      <c r="M310" s="43">
        <f t="shared" si="49"/>
        <v>0</v>
      </c>
      <c r="N310" s="57">
        <f t="shared" si="50"/>
        <v>0</v>
      </c>
      <c r="O310" s="57">
        <f t="shared" si="51"/>
        <v>0</v>
      </c>
      <c r="P310" s="57">
        <f t="shared" si="52"/>
        <v>0</v>
      </c>
    </row>
    <row r="311" spans="2:16">
      <c r="B311" s="15" t="s">
        <v>420</v>
      </c>
      <c r="C311" s="50" t="s">
        <v>66</v>
      </c>
      <c r="D311" s="50" t="s">
        <v>51</v>
      </c>
      <c r="E311" s="50" t="s">
        <v>139</v>
      </c>
      <c r="F311" s="50"/>
      <c r="G311" s="204">
        <f>G312+G313+G314</f>
        <v>972.5</v>
      </c>
      <c r="H311" s="204">
        <v>799.6</v>
      </c>
      <c r="I311" s="212">
        <f t="shared" si="53"/>
        <v>0.82221079691516707</v>
      </c>
      <c r="J311" s="42"/>
      <c r="K311" s="43">
        <f t="shared" si="47"/>
        <v>0</v>
      </c>
      <c r="L311" s="43">
        <f t="shared" si="48"/>
        <v>0</v>
      </c>
      <c r="M311" s="43">
        <f t="shared" si="49"/>
        <v>0</v>
      </c>
      <c r="N311" s="57">
        <f t="shared" si="50"/>
        <v>0</v>
      </c>
      <c r="O311" s="57">
        <f t="shared" si="51"/>
        <v>0</v>
      </c>
      <c r="P311" s="57">
        <f t="shared" si="52"/>
        <v>0</v>
      </c>
    </row>
    <row r="312" spans="2:16" ht="38.25">
      <c r="B312" s="15" t="s">
        <v>17</v>
      </c>
      <c r="C312" s="50" t="s">
        <v>66</v>
      </c>
      <c r="D312" s="50" t="s">
        <v>51</v>
      </c>
      <c r="E312" s="50" t="s">
        <v>148</v>
      </c>
      <c r="F312" s="50" t="s">
        <v>18</v>
      </c>
      <c r="G312" s="204">
        <f>626+124+37.5+90+18</f>
        <v>895.5</v>
      </c>
      <c r="H312" s="204">
        <v>779.5</v>
      </c>
      <c r="I312" s="212">
        <f t="shared" si="53"/>
        <v>0.87046342825237299</v>
      </c>
      <c r="J312" s="42">
        <v>1</v>
      </c>
      <c r="K312" s="43">
        <f t="shared" si="47"/>
        <v>895.5</v>
      </c>
      <c r="L312" s="43">
        <f t="shared" si="48"/>
        <v>779.5</v>
      </c>
      <c r="M312" s="43">
        <f t="shared" si="49"/>
        <v>0.87046342825237299</v>
      </c>
      <c r="N312" s="57">
        <f t="shared" si="50"/>
        <v>0</v>
      </c>
      <c r="O312" s="57">
        <f t="shared" si="51"/>
        <v>0</v>
      </c>
      <c r="P312" s="57">
        <f t="shared" si="52"/>
        <v>0</v>
      </c>
    </row>
    <row r="313" spans="2:16">
      <c r="B313" s="15" t="s">
        <v>19</v>
      </c>
      <c r="C313" s="50" t="s">
        <v>66</v>
      </c>
      <c r="D313" s="50" t="s">
        <v>51</v>
      </c>
      <c r="E313" s="50" t="s">
        <v>148</v>
      </c>
      <c r="F313" s="50" t="s">
        <v>20</v>
      </c>
      <c r="G313" s="204">
        <f>237.5-161.5-1</f>
        <v>75</v>
      </c>
      <c r="H313" s="204">
        <v>20.100000000000001</v>
      </c>
      <c r="I313" s="212">
        <f t="shared" si="53"/>
        <v>0.26800000000000002</v>
      </c>
      <c r="J313" s="42">
        <v>1</v>
      </c>
      <c r="K313" s="43">
        <f t="shared" si="47"/>
        <v>75</v>
      </c>
      <c r="L313" s="43">
        <f t="shared" si="48"/>
        <v>20.100000000000001</v>
      </c>
      <c r="M313" s="43">
        <f t="shared" si="49"/>
        <v>0.26800000000000002</v>
      </c>
      <c r="N313" s="57">
        <f t="shared" si="50"/>
        <v>0</v>
      </c>
      <c r="O313" s="57">
        <f t="shared" si="51"/>
        <v>0</v>
      </c>
      <c r="P313" s="57">
        <f t="shared" si="52"/>
        <v>0</v>
      </c>
    </row>
    <row r="314" spans="2:16">
      <c r="B314" s="15" t="s">
        <v>100</v>
      </c>
      <c r="C314" s="50" t="s">
        <v>66</v>
      </c>
      <c r="D314" s="50" t="s">
        <v>51</v>
      </c>
      <c r="E314" s="50" t="s">
        <v>151</v>
      </c>
      <c r="F314" s="50"/>
      <c r="G314" s="204">
        <f>G315</f>
        <v>2</v>
      </c>
      <c r="H314" s="204">
        <v>1</v>
      </c>
      <c r="I314" s="212">
        <f t="shared" si="53"/>
        <v>0.5</v>
      </c>
      <c r="J314" s="42"/>
      <c r="K314" s="43">
        <f t="shared" si="47"/>
        <v>0</v>
      </c>
      <c r="L314" s="43">
        <f t="shared" si="48"/>
        <v>0</v>
      </c>
      <c r="M314" s="43">
        <f t="shared" si="49"/>
        <v>0</v>
      </c>
      <c r="N314" s="57">
        <f t="shared" si="50"/>
        <v>0</v>
      </c>
      <c r="O314" s="57">
        <f t="shared" si="51"/>
        <v>0</v>
      </c>
      <c r="P314" s="57">
        <f t="shared" si="52"/>
        <v>0</v>
      </c>
    </row>
    <row r="315" spans="2:16">
      <c r="B315" s="15" t="s">
        <v>21</v>
      </c>
      <c r="C315" s="50" t="s">
        <v>66</v>
      </c>
      <c r="D315" s="50" t="s">
        <v>51</v>
      </c>
      <c r="E315" s="50" t="s">
        <v>151</v>
      </c>
      <c r="F315" s="50" t="s">
        <v>22</v>
      </c>
      <c r="G315" s="204">
        <f>1+1</f>
        <v>2</v>
      </c>
      <c r="H315" s="204">
        <v>1</v>
      </c>
      <c r="I315" s="212">
        <f t="shared" si="53"/>
        <v>0.5</v>
      </c>
      <c r="J315" s="42">
        <v>1</v>
      </c>
      <c r="K315" s="43">
        <f t="shared" si="47"/>
        <v>2</v>
      </c>
      <c r="L315" s="43">
        <f t="shared" si="48"/>
        <v>1</v>
      </c>
      <c r="M315" s="43">
        <f t="shared" si="49"/>
        <v>0.5</v>
      </c>
      <c r="N315" s="57">
        <f t="shared" si="50"/>
        <v>0</v>
      </c>
      <c r="O315" s="57">
        <f t="shared" si="51"/>
        <v>0</v>
      </c>
      <c r="P315" s="57">
        <f t="shared" si="52"/>
        <v>0</v>
      </c>
    </row>
    <row r="316" spans="2:16" hidden="1">
      <c r="B316" s="15" t="s">
        <v>570</v>
      </c>
      <c r="C316" s="50" t="s">
        <v>66</v>
      </c>
      <c r="D316" s="50" t="s">
        <v>51</v>
      </c>
      <c r="E316" s="50" t="s">
        <v>139</v>
      </c>
      <c r="F316" s="50"/>
      <c r="G316" s="204">
        <f>G317</f>
        <v>0</v>
      </c>
      <c r="H316" s="204"/>
      <c r="I316" s="212" t="e">
        <f t="shared" si="53"/>
        <v>#DIV/0!</v>
      </c>
      <c r="J316" s="42"/>
      <c r="K316" s="43">
        <f t="shared" si="47"/>
        <v>0</v>
      </c>
      <c r="L316" s="43">
        <f t="shared" si="48"/>
        <v>0</v>
      </c>
      <c r="M316" s="43">
        <f t="shared" si="49"/>
        <v>0</v>
      </c>
      <c r="N316" s="57">
        <f t="shared" si="50"/>
        <v>0</v>
      </c>
      <c r="O316" s="57">
        <f t="shared" si="51"/>
        <v>0</v>
      </c>
      <c r="P316" s="57">
        <f t="shared" si="52"/>
        <v>0</v>
      </c>
    </row>
    <row r="317" spans="2:16" hidden="1">
      <c r="B317" s="15" t="s">
        <v>571</v>
      </c>
      <c r="C317" s="50" t="s">
        <v>66</v>
      </c>
      <c r="D317" s="50" t="s">
        <v>51</v>
      </c>
      <c r="E317" s="50" t="s">
        <v>567</v>
      </c>
      <c r="F317" s="50"/>
      <c r="G317" s="204">
        <f>G318</f>
        <v>0</v>
      </c>
      <c r="H317" s="204"/>
      <c r="I317" s="212" t="e">
        <f t="shared" si="53"/>
        <v>#DIV/0!</v>
      </c>
      <c r="J317" s="42"/>
      <c r="K317" s="43">
        <f t="shared" si="47"/>
        <v>0</v>
      </c>
      <c r="L317" s="43">
        <f t="shared" si="48"/>
        <v>0</v>
      </c>
      <c r="M317" s="43">
        <f t="shared" si="49"/>
        <v>0</v>
      </c>
      <c r="N317" s="57">
        <f t="shared" si="50"/>
        <v>0</v>
      </c>
      <c r="O317" s="57">
        <f t="shared" si="51"/>
        <v>0</v>
      </c>
      <c r="P317" s="57">
        <f t="shared" si="52"/>
        <v>0</v>
      </c>
    </row>
    <row r="318" spans="2:16" ht="25.5" hidden="1">
      <c r="B318" s="15" t="s">
        <v>394</v>
      </c>
      <c r="C318" s="50" t="s">
        <v>66</v>
      </c>
      <c r="D318" s="50" t="s">
        <v>51</v>
      </c>
      <c r="E318" s="50" t="s">
        <v>567</v>
      </c>
      <c r="F318" s="50" t="s">
        <v>31</v>
      </c>
      <c r="G318" s="204">
        <v>0</v>
      </c>
      <c r="H318" s="204"/>
      <c r="I318" s="212" t="e">
        <f t="shared" si="53"/>
        <v>#DIV/0!</v>
      </c>
      <c r="J318" s="42">
        <v>1</v>
      </c>
      <c r="K318" s="43">
        <f t="shared" si="47"/>
        <v>0</v>
      </c>
      <c r="L318" s="43">
        <f t="shared" si="48"/>
        <v>0</v>
      </c>
      <c r="M318" s="43" t="e">
        <f t="shared" si="49"/>
        <v>#DIV/0!</v>
      </c>
      <c r="N318" s="57">
        <f t="shared" si="50"/>
        <v>0</v>
      </c>
      <c r="O318" s="57">
        <f t="shared" si="51"/>
        <v>0</v>
      </c>
      <c r="P318" s="57">
        <f t="shared" si="52"/>
        <v>0</v>
      </c>
    </row>
    <row r="319" spans="2:16" ht="15" customHeight="1">
      <c r="B319" s="15" t="s">
        <v>570</v>
      </c>
      <c r="C319" s="157" t="s">
        <v>66</v>
      </c>
      <c r="D319" s="157" t="s">
        <v>51</v>
      </c>
      <c r="E319" s="157" t="s">
        <v>139</v>
      </c>
      <c r="F319" s="157"/>
      <c r="G319" s="204">
        <f>G320</f>
        <v>4.1999999999999993</v>
      </c>
      <c r="H319" s="204">
        <v>4.2</v>
      </c>
      <c r="I319" s="212">
        <f t="shared" si="53"/>
        <v>1.0000000000000002</v>
      </c>
      <c r="J319" s="42"/>
      <c r="K319" s="43"/>
      <c r="L319" s="43"/>
      <c r="M319" s="43"/>
      <c r="N319" s="57"/>
      <c r="O319" s="57"/>
      <c r="P319" s="57"/>
    </row>
    <row r="320" spans="2:16">
      <c r="B320" s="15" t="s">
        <v>571</v>
      </c>
      <c r="C320" s="157" t="s">
        <v>66</v>
      </c>
      <c r="D320" s="157" t="s">
        <v>51</v>
      </c>
      <c r="E320" s="157" t="s">
        <v>567</v>
      </c>
      <c r="F320" s="157"/>
      <c r="G320" s="204">
        <f>G321</f>
        <v>4.1999999999999993</v>
      </c>
      <c r="H320" s="204">
        <v>4.2</v>
      </c>
      <c r="I320" s="212">
        <f t="shared" si="53"/>
        <v>1.0000000000000002</v>
      </c>
      <c r="J320" s="42"/>
      <c r="K320" s="43"/>
      <c r="L320" s="43"/>
      <c r="M320" s="43"/>
      <c r="N320" s="57"/>
      <c r="O320" s="57"/>
      <c r="P320" s="57"/>
    </row>
    <row r="321" spans="1:16" ht="25.5">
      <c r="B321" s="15" t="s">
        <v>394</v>
      </c>
      <c r="C321" s="157" t="s">
        <v>66</v>
      </c>
      <c r="D321" s="157" t="s">
        <v>51</v>
      </c>
      <c r="E321" s="157" t="s">
        <v>567</v>
      </c>
      <c r="F321" s="157" t="s">
        <v>31</v>
      </c>
      <c r="G321" s="204">
        <f>20-15.8</f>
        <v>4.1999999999999993</v>
      </c>
      <c r="H321" s="204">
        <v>4.2</v>
      </c>
      <c r="I321" s="212">
        <f t="shared" si="53"/>
        <v>1.0000000000000002</v>
      </c>
      <c r="J321" s="42"/>
      <c r="K321" s="43"/>
      <c r="L321" s="43"/>
      <c r="M321" s="43"/>
      <c r="N321" s="57"/>
      <c r="O321" s="57"/>
      <c r="P321" s="57"/>
    </row>
    <row r="322" spans="1:16">
      <c r="B322" s="14" t="s">
        <v>44</v>
      </c>
      <c r="C322" s="11" t="s">
        <v>66</v>
      </c>
      <c r="D322" s="11" t="s">
        <v>45</v>
      </c>
      <c r="E322" s="50"/>
      <c r="F322" s="50"/>
      <c r="G322" s="203">
        <f>G323</f>
        <v>25687.3</v>
      </c>
      <c r="H322" s="203">
        <v>25685.7</v>
      </c>
      <c r="I322" s="207">
        <f t="shared" si="53"/>
        <v>0.99993771241041296</v>
      </c>
      <c r="J322" s="42"/>
      <c r="K322" s="43">
        <f t="shared" si="47"/>
        <v>0</v>
      </c>
      <c r="L322" s="43">
        <f t="shared" si="48"/>
        <v>0</v>
      </c>
      <c r="M322" s="43">
        <f t="shared" si="49"/>
        <v>0</v>
      </c>
      <c r="N322" s="57">
        <f t="shared" si="50"/>
        <v>0</v>
      </c>
      <c r="O322" s="57">
        <f t="shared" si="51"/>
        <v>0</v>
      </c>
      <c r="P322" s="57">
        <f t="shared" si="52"/>
        <v>0</v>
      </c>
    </row>
    <row r="323" spans="1:16">
      <c r="B323" s="14" t="s">
        <v>46</v>
      </c>
      <c r="C323" s="11" t="s">
        <v>66</v>
      </c>
      <c r="D323" s="11" t="s">
        <v>47</v>
      </c>
      <c r="E323" s="11" t="s">
        <v>12</v>
      </c>
      <c r="F323" s="11" t="s">
        <v>12</v>
      </c>
      <c r="G323" s="203">
        <f>G334+G324</f>
        <v>25687.3</v>
      </c>
      <c r="H323" s="203">
        <v>25685.7</v>
      </c>
      <c r="I323" s="207">
        <f t="shared" si="53"/>
        <v>0.99993771241041296</v>
      </c>
      <c r="J323" s="42"/>
      <c r="K323" s="43">
        <f t="shared" si="47"/>
        <v>0</v>
      </c>
      <c r="L323" s="43">
        <f t="shared" si="48"/>
        <v>0</v>
      </c>
      <c r="M323" s="43">
        <f t="shared" si="49"/>
        <v>0</v>
      </c>
      <c r="N323" s="57">
        <f t="shared" si="50"/>
        <v>0</v>
      </c>
      <c r="O323" s="57">
        <f t="shared" si="51"/>
        <v>0</v>
      </c>
      <c r="P323" s="57">
        <f t="shared" si="52"/>
        <v>0</v>
      </c>
    </row>
    <row r="324" spans="1:16" s="6" customFormat="1">
      <c r="B324" s="101" t="s">
        <v>731</v>
      </c>
      <c r="C324" s="11" t="s">
        <v>66</v>
      </c>
      <c r="D324" s="11" t="s">
        <v>47</v>
      </c>
      <c r="E324" s="11" t="s">
        <v>526</v>
      </c>
      <c r="F324" s="11"/>
      <c r="G324" s="203">
        <f>G330+G331+G332+G333+G337+G336</f>
        <v>25687.3</v>
      </c>
      <c r="H324" s="203">
        <v>25685.7</v>
      </c>
      <c r="I324" s="207">
        <f t="shared" si="53"/>
        <v>0.99993771241041296</v>
      </c>
      <c r="J324" s="13"/>
      <c r="K324" s="43">
        <f t="shared" si="47"/>
        <v>0</v>
      </c>
      <c r="L324" s="43">
        <f t="shared" si="48"/>
        <v>0</v>
      </c>
      <c r="M324" s="43">
        <f t="shared" si="49"/>
        <v>0</v>
      </c>
      <c r="N324" s="57">
        <f t="shared" si="50"/>
        <v>0</v>
      </c>
      <c r="O324" s="57">
        <f t="shared" si="51"/>
        <v>0</v>
      </c>
      <c r="P324" s="57">
        <f t="shared" si="52"/>
        <v>0</v>
      </c>
    </row>
    <row r="325" spans="1:16" hidden="1">
      <c r="B325" s="15" t="s">
        <v>541</v>
      </c>
      <c r="C325" s="50" t="s">
        <v>66</v>
      </c>
      <c r="D325" s="50" t="s">
        <v>47</v>
      </c>
      <c r="E325" s="50" t="s">
        <v>531</v>
      </c>
      <c r="F325" s="50"/>
      <c r="G325" s="204">
        <f>G326</f>
        <v>0</v>
      </c>
      <c r="H325" s="204"/>
      <c r="I325" s="207" t="e">
        <f t="shared" si="53"/>
        <v>#DIV/0!</v>
      </c>
      <c r="J325" s="42"/>
      <c r="K325" s="43">
        <f t="shared" si="47"/>
        <v>0</v>
      </c>
      <c r="L325" s="43">
        <f t="shared" si="48"/>
        <v>0</v>
      </c>
      <c r="M325" s="43">
        <f t="shared" si="49"/>
        <v>0</v>
      </c>
      <c r="N325" s="57">
        <f t="shared" si="50"/>
        <v>0</v>
      </c>
      <c r="O325" s="57">
        <f t="shared" si="51"/>
        <v>0</v>
      </c>
      <c r="P325" s="57">
        <f t="shared" si="52"/>
        <v>0</v>
      </c>
    </row>
    <row r="326" spans="1:16" hidden="1">
      <c r="B326" s="15" t="s">
        <v>542</v>
      </c>
      <c r="C326" s="50" t="s">
        <v>66</v>
      </c>
      <c r="D326" s="50" t="s">
        <v>47</v>
      </c>
      <c r="E326" s="50" t="s">
        <v>532</v>
      </c>
      <c r="F326" s="50"/>
      <c r="G326" s="204">
        <f>SUM(G327:G329)</f>
        <v>0</v>
      </c>
      <c r="H326" s="204"/>
      <c r="I326" s="207" t="e">
        <f t="shared" si="53"/>
        <v>#DIV/0!</v>
      </c>
      <c r="J326" s="42"/>
      <c r="K326" s="43">
        <f t="shared" si="47"/>
        <v>0</v>
      </c>
      <c r="L326" s="43">
        <f t="shared" si="48"/>
        <v>0</v>
      </c>
      <c r="M326" s="43">
        <f t="shared" si="49"/>
        <v>0</v>
      </c>
      <c r="N326" s="57">
        <f t="shared" si="50"/>
        <v>0</v>
      </c>
      <c r="O326" s="57">
        <f t="shared" si="51"/>
        <v>0</v>
      </c>
      <c r="P326" s="57">
        <f t="shared" si="52"/>
        <v>0</v>
      </c>
    </row>
    <row r="327" spans="1:16" ht="25.5" hidden="1">
      <c r="B327" s="15" t="s">
        <v>405</v>
      </c>
      <c r="C327" s="50" t="s">
        <v>66</v>
      </c>
      <c r="D327" s="50" t="s">
        <v>47</v>
      </c>
      <c r="E327" s="50" t="s">
        <v>532</v>
      </c>
      <c r="F327" s="50" t="s">
        <v>20</v>
      </c>
      <c r="G327" s="204">
        <v>0</v>
      </c>
      <c r="H327" s="204"/>
      <c r="I327" s="207" t="e">
        <f t="shared" si="53"/>
        <v>#DIV/0!</v>
      </c>
      <c r="J327" s="42">
        <v>2</v>
      </c>
      <c r="K327" s="43">
        <f t="shared" si="47"/>
        <v>0</v>
      </c>
      <c r="L327" s="43">
        <f t="shared" si="48"/>
        <v>0</v>
      </c>
      <c r="M327" s="43">
        <f t="shared" si="49"/>
        <v>0</v>
      </c>
      <c r="N327" s="57">
        <f t="shared" si="50"/>
        <v>0</v>
      </c>
      <c r="O327" s="57">
        <f t="shared" si="51"/>
        <v>0</v>
      </c>
      <c r="P327" s="57" t="e">
        <f t="shared" si="52"/>
        <v>#DIV/0!</v>
      </c>
    </row>
    <row r="328" spans="1:16" ht="25.5" hidden="1">
      <c r="B328" s="15" t="s">
        <v>388</v>
      </c>
      <c r="C328" s="50" t="s">
        <v>66</v>
      </c>
      <c r="D328" s="50" t="s">
        <v>47</v>
      </c>
      <c r="E328" s="50" t="s">
        <v>532</v>
      </c>
      <c r="F328" s="50" t="s">
        <v>20</v>
      </c>
      <c r="G328" s="204">
        <v>0</v>
      </c>
      <c r="H328" s="204"/>
      <c r="I328" s="207" t="e">
        <f t="shared" si="53"/>
        <v>#DIV/0!</v>
      </c>
      <c r="J328" s="42">
        <v>2</v>
      </c>
      <c r="K328" s="43">
        <f t="shared" ref="K328:K379" si="54">SUMIF(J328,1,G328)</f>
        <v>0</v>
      </c>
      <c r="L328" s="43">
        <f t="shared" ref="L328:L379" si="55">SUMIF(J328,1,H328)</f>
        <v>0</v>
      </c>
      <c r="M328" s="43">
        <f t="shared" ref="M328:M379" si="56">SUMIF(J328,1,I328)</f>
        <v>0</v>
      </c>
      <c r="N328" s="57">
        <f t="shared" ref="N328:N379" si="57">SUMIF(J328,2,G328)</f>
        <v>0</v>
      </c>
      <c r="O328" s="57">
        <f t="shared" ref="O328:O379" si="58">SUMIF(J328,2,H328)</f>
        <v>0</v>
      </c>
      <c r="P328" s="57" t="e">
        <f t="shared" ref="P328:P379" si="59">SUMIF(J328,2,I328)</f>
        <v>#DIV/0!</v>
      </c>
    </row>
    <row r="329" spans="1:16" ht="25.5" hidden="1">
      <c r="B329" s="15" t="s">
        <v>387</v>
      </c>
      <c r="C329" s="50" t="s">
        <v>66</v>
      </c>
      <c r="D329" s="50" t="s">
        <v>47</v>
      </c>
      <c r="E329" s="50" t="s">
        <v>532</v>
      </c>
      <c r="F329" s="50" t="s">
        <v>20</v>
      </c>
      <c r="G329" s="204">
        <v>0</v>
      </c>
      <c r="H329" s="204"/>
      <c r="I329" s="207" t="e">
        <f t="shared" si="53"/>
        <v>#DIV/0!</v>
      </c>
      <c r="J329" s="42">
        <v>1</v>
      </c>
      <c r="K329" s="43">
        <f t="shared" si="54"/>
        <v>0</v>
      </c>
      <c r="L329" s="43">
        <f t="shared" si="55"/>
        <v>0</v>
      </c>
      <c r="M329" s="43" t="e">
        <f t="shared" si="56"/>
        <v>#DIV/0!</v>
      </c>
      <c r="N329" s="57">
        <f t="shared" si="57"/>
        <v>0</v>
      </c>
      <c r="O329" s="57">
        <f t="shared" si="58"/>
        <v>0</v>
      </c>
      <c r="P329" s="57">
        <f t="shared" si="59"/>
        <v>0</v>
      </c>
    </row>
    <row r="330" spans="1:16" hidden="1">
      <c r="B330" s="62" t="s">
        <v>743</v>
      </c>
      <c r="C330" s="50" t="s">
        <v>66</v>
      </c>
      <c r="D330" s="50" t="s">
        <v>47</v>
      </c>
      <c r="E330" s="50" t="s">
        <v>664</v>
      </c>
      <c r="F330" s="50" t="s">
        <v>265</v>
      </c>
      <c r="G330" s="204">
        <v>0</v>
      </c>
      <c r="H330" s="204">
        <v>0</v>
      </c>
      <c r="I330" s="207" t="e">
        <f t="shared" si="53"/>
        <v>#DIV/0!</v>
      </c>
      <c r="J330" s="42">
        <v>1</v>
      </c>
      <c r="K330" s="43">
        <f t="shared" si="54"/>
        <v>0</v>
      </c>
      <c r="L330" s="43">
        <f t="shared" si="55"/>
        <v>0</v>
      </c>
      <c r="M330" s="43" t="e">
        <f t="shared" si="56"/>
        <v>#DIV/0!</v>
      </c>
      <c r="N330" s="57">
        <f t="shared" si="57"/>
        <v>0</v>
      </c>
      <c r="O330" s="57">
        <f t="shared" si="58"/>
        <v>0</v>
      </c>
      <c r="P330" s="57">
        <f t="shared" si="59"/>
        <v>0</v>
      </c>
    </row>
    <row r="331" spans="1:16" ht="38.25" hidden="1">
      <c r="B331" s="103" t="s">
        <v>744</v>
      </c>
      <c r="C331" s="50" t="s">
        <v>66</v>
      </c>
      <c r="D331" s="50" t="s">
        <v>47</v>
      </c>
      <c r="E331" s="50" t="s">
        <v>665</v>
      </c>
      <c r="F331" s="50" t="s">
        <v>20</v>
      </c>
      <c r="G331" s="204">
        <f>7.2+3230.3-7.2-3230.3</f>
        <v>0</v>
      </c>
      <c r="H331" s="204">
        <v>0</v>
      </c>
      <c r="I331" s="207" t="e">
        <f t="shared" si="53"/>
        <v>#DIV/0!</v>
      </c>
      <c r="J331" s="42">
        <v>1</v>
      </c>
      <c r="K331" s="43">
        <f t="shared" si="54"/>
        <v>0</v>
      </c>
      <c r="L331" s="43">
        <f t="shared" si="55"/>
        <v>0</v>
      </c>
      <c r="M331" s="43" t="e">
        <f t="shared" si="56"/>
        <v>#DIV/0!</v>
      </c>
      <c r="N331" s="57">
        <f t="shared" si="57"/>
        <v>0</v>
      </c>
      <c r="O331" s="57">
        <f t="shared" si="58"/>
        <v>0</v>
      </c>
      <c r="P331" s="57">
        <f t="shared" si="59"/>
        <v>0</v>
      </c>
    </row>
    <row r="332" spans="1:16" ht="38.25">
      <c r="B332" s="103" t="s">
        <v>744</v>
      </c>
      <c r="C332" s="50" t="s">
        <v>66</v>
      </c>
      <c r="D332" s="50" t="s">
        <v>47</v>
      </c>
      <c r="E332" s="50" t="s">
        <v>843</v>
      </c>
      <c r="F332" s="50" t="s">
        <v>20</v>
      </c>
      <c r="G332" s="204">
        <f>7.2+3230.3</f>
        <v>3237.5</v>
      </c>
      <c r="H332" s="204">
        <v>3237.4</v>
      </c>
      <c r="I332" s="212">
        <f t="shared" si="53"/>
        <v>0.99996911196911198</v>
      </c>
      <c r="J332" s="42"/>
      <c r="K332" s="43"/>
      <c r="L332" s="43"/>
      <c r="M332" s="43"/>
      <c r="N332" s="57"/>
      <c r="O332" s="57"/>
      <c r="P332" s="57"/>
    </row>
    <row r="333" spans="1:16" ht="25.5" hidden="1">
      <c r="B333" s="62" t="s">
        <v>861</v>
      </c>
      <c r="C333" s="50" t="s">
        <v>66</v>
      </c>
      <c r="D333" s="50" t="s">
        <v>47</v>
      </c>
      <c r="E333" s="50" t="s">
        <v>814</v>
      </c>
      <c r="F333" s="50" t="s">
        <v>20</v>
      </c>
      <c r="G333" s="204">
        <f>129-129</f>
        <v>0</v>
      </c>
      <c r="H333" s="204">
        <v>0</v>
      </c>
      <c r="I333" s="212" t="e">
        <f t="shared" si="53"/>
        <v>#DIV/0!</v>
      </c>
      <c r="J333" s="42">
        <v>1</v>
      </c>
      <c r="K333" s="43">
        <f t="shared" si="54"/>
        <v>0</v>
      </c>
      <c r="L333" s="43">
        <f t="shared" si="55"/>
        <v>0</v>
      </c>
      <c r="M333" s="43" t="e">
        <f t="shared" si="56"/>
        <v>#DIV/0!</v>
      </c>
      <c r="N333" s="57">
        <f t="shared" si="57"/>
        <v>0</v>
      </c>
      <c r="O333" s="57">
        <f t="shared" si="58"/>
        <v>0</v>
      </c>
      <c r="P333" s="57">
        <f t="shared" si="59"/>
        <v>0</v>
      </c>
    </row>
    <row r="334" spans="1:16" hidden="1">
      <c r="A334" s="4" t="s">
        <v>46</v>
      </c>
      <c r="B334" s="15" t="s">
        <v>422</v>
      </c>
      <c r="C334" s="50" t="s">
        <v>66</v>
      </c>
      <c r="D334" s="50" t="s">
        <v>47</v>
      </c>
      <c r="E334" s="50" t="s">
        <v>421</v>
      </c>
      <c r="F334" s="50"/>
      <c r="G334" s="204">
        <f>G335</f>
        <v>0</v>
      </c>
      <c r="H334" s="204"/>
      <c r="I334" s="212" t="e">
        <f t="shared" si="53"/>
        <v>#DIV/0!</v>
      </c>
      <c r="J334" s="42"/>
      <c r="K334" s="43">
        <f t="shared" si="54"/>
        <v>0</v>
      </c>
      <c r="L334" s="43">
        <f t="shared" si="55"/>
        <v>0</v>
      </c>
      <c r="M334" s="43">
        <f t="shared" si="56"/>
        <v>0</v>
      </c>
      <c r="N334" s="57">
        <f t="shared" si="57"/>
        <v>0</v>
      </c>
      <c r="O334" s="57">
        <f t="shared" si="58"/>
        <v>0</v>
      </c>
      <c r="P334" s="57">
        <f t="shared" si="59"/>
        <v>0</v>
      </c>
    </row>
    <row r="335" spans="1:16" hidden="1">
      <c r="B335" s="15" t="s">
        <v>398</v>
      </c>
      <c r="C335" s="50" t="s">
        <v>66</v>
      </c>
      <c r="D335" s="50" t="s">
        <v>47</v>
      </c>
      <c r="E335" s="50" t="s">
        <v>421</v>
      </c>
      <c r="F335" s="50" t="s">
        <v>134</v>
      </c>
      <c r="G335" s="204">
        <v>0</v>
      </c>
      <c r="H335" s="204"/>
      <c r="I335" s="212" t="e">
        <f t="shared" si="53"/>
        <v>#DIV/0!</v>
      </c>
      <c r="J335" s="42">
        <v>1</v>
      </c>
      <c r="K335" s="43">
        <f t="shared" si="54"/>
        <v>0</v>
      </c>
      <c r="L335" s="43">
        <f t="shared" si="55"/>
        <v>0</v>
      </c>
      <c r="M335" s="43" t="e">
        <f t="shared" si="56"/>
        <v>#DIV/0!</v>
      </c>
      <c r="N335" s="57">
        <f t="shared" si="57"/>
        <v>0</v>
      </c>
      <c r="O335" s="57">
        <f t="shared" si="58"/>
        <v>0</v>
      </c>
      <c r="P335" s="57">
        <f t="shared" si="59"/>
        <v>0</v>
      </c>
    </row>
    <row r="336" spans="1:16" ht="25.5">
      <c r="B336" s="62" t="s">
        <v>860</v>
      </c>
      <c r="C336" s="50" t="s">
        <v>66</v>
      </c>
      <c r="D336" s="50" t="s">
        <v>47</v>
      </c>
      <c r="E336" s="50" t="s">
        <v>832</v>
      </c>
      <c r="F336" s="50" t="s">
        <v>20</v>
      </c>
      <c r="G336" s="204">
        <f>800+129-21.3</f>
        <v>907.7</v>
      </c>
      <c r="H336" s="204">
        <v>907.7</v>
      </c>
      <c r="I336" s="212">
        <f t="shared" si="53"/>
        <v>1</v>
      </c>
      <c r="J336" s="42"/>
      <c r="K336" s="43"/>
      <c r="L336" s="43"/>
      <c r="M336" s="43"/>
      <c r="N336" s="57"/>
      <c r="O336" s="57"/>
      <c r="P336" s="57"/>
    </row>
    <row r="337" spans="2:16" ht="25.5">
      <c r="B337" s="62" t="s">
        <v>859</v>
      </c>
      <c r="C337" s="50" t="s">
        <v>66</v>
      </c>
      <c r="D337" s="50" t="s">
        <v>47</v>
      </c>
      <c r="E337" s="50" t="s">
        <v>832</v>
      </c>
      <c r="F337" s="50" t="s">
        <v>20</v>
      </c>
      <c r="G337" s="204">
        <f>25797.3-4170.1-85.1</f>
        <v>21542.1</v>
      </c>
      <c r="H337" s="204">
        <v>21540.6</v>
      </c>
      <c r="I337" s="212">
        <f t="shared" si="53"/>
        <v>0.99993036890553844</v>
      </c>
      <c r="J337" s="42"/>
      <c r="K337" s="43"/>
      <c r="L337" s="43"/>
      <c r="M337" s="43"/>
      <c r="N337" s="57"/>
      <c r="O337" s="57"/>
      <c r="P337" s="57"/>
    </row>
    <row r="338" spans="2:16">
      <c r="B338" s="14" t="s">
        <v>32</v>
      </c>
      <c r="C338" s="11" t="s">
        <v>66</v>
      </c>
      <c r="D338" s="11" t="s">
        <v>33</v>
      </c>
      <c r="E338" s="11" t="s">
        <v>12</v>
      </c>
      <c r="F338" s="11" t="s">
        <v>12</v>
      </c>
      <c r="G338" s="203">
        <f>G339+G343+G348</f>
        <v>7107.8</v>
      </c>
      <c r="H338" s="203">
        <v>6954.2</v>
      </c>
      <c r="I338" s="207">
        <f t="shared" si="53"/>
        <v>0.978389937814795</v>
      </c>
      <c r="J338" s="42"/>
      <c r="K338" s="43">
        <f t="shared" si="54"/>
        <v>0</v>
      </c>
      <c r="L338" s="43">
        <f t="shared" si="55"/>
        <v>0</v>
      </c>
      <c r="M338" s="43">
        <f t="shared" si="56"/>
        <v>0</v>
      </c>
      <c r="N338" s="57">
        <f t="shared" si="57"/>
        <v>0</v>
      </c>
      <c r="O338" s="57">
        <f t="shared" si="58"/>
        <v>0</v>
      </c>
      <c r="P338" s="57">
        <f t="shared" si="59"/>
        <v>0</v>
      </c>
    </row>
    <row r="339" spans="2:16">
      <c r="B339" s="14" t="s">
        <v>83</v>
      </c>
      <c r="C339" s="11" t="s">
        <v>66</v>
      </c>
      <c r="D339" s="11" t="s">
        <v>56</v>
      </c>
      <c r="E339" s="11"/>
      <c r="F339" s="11" t="s">
        <v>12</v>
      </c>
      <c r="G339" s="203">
        <f>G340</f>
        <v>830</v>
      </c>
      <c r="H339" s="203">
        <v>790.1</v>
      </c>
      <c r="I339" s="207">
        <f t="shared" si="53"/>
        <v>0.95192771084337358</v>
      </c>
      <c r="J339" s="42"/>
      <c r="K339" s="43">
        <f t="shared" si="54"/>
        <v>0</v>
      </c>
      <c r="L339" s="43">
        <f t="shared" si="55"/>
        <v>0</v>
      </c>
      <c r="M339" s="43">
        <f t="shared" si="56"/>
        <v>0</v>
      </c>
      <c r="N339" s="57">
        <f t="shared" si="57"/>
        <v>0</v>
      </c>
      <c r="O339" s="57">
        <f t="shared" si="58"/>
        <v>0</v>
      </c>
      <c r="P339" s="57">
        <f t="shared" si="59"/>
        <v>0</v>
      </c>
    </row>
    <row r="340" spans="2:16">
      <c r="B340" s="15" t="s">
        <v>78</v>
      </c>
      <c r="C340" s="50" t="s">
        <v>66</v>
      </c>
      <c r="D340" s="50" t="s">
        <v>56</v>
      </c>
      <c r="E340" s="50" t="s">
        <v>139</v>
      </c>
      <c r="F340" s="50"/>
      <c r="G340" s="204">
        <f>G341</f>
        <v>830</v>
      </c>
      <c r="H340" s="204">
        <v>790.1</v>
      </c>
      <c r="I340" s="212">
        <f t="shared" si="53"/>
        <v>0.95192771084337358</v>
      </c>
      <c r="J340" s="42"/>
      <c r="K340" s="43">
        <f t="shared" si="54"/>
        <v>0</v>
      </c>
      <c r="L340" s="43">
        <f t="shared" si="55"/>
        <v>0</v>
      </c>
      <c r="M340" s="43">
        <f t="shared" si="56"/>
        <v>0</v>
      </c>
      <c r="N340" s="57">
        <f t="shared" si="57"/>
        <v>0</v>
      </c>
      <c r="O340" s="57">
        <f t="shared" si="58"/>
        <v>0</v>
      </c>
      <c r="P340" s="57">
        <f t="shared" si="59"/>
        <v>0</v>
      </c>
    </row>
    <row r="341" spans="2:16">
      <c r="B341" s="15" t="s">
        <v>115</v>
      </c>
      <c r="C341" s="50" t="s">
        <v>66</v>
      </c>
      <c r="D341" s="50" t="s">
        <v>56</v>
      </c>
      <c r="E341" s="50" t="s">
        <v>163</v>
      </c>
      <c r="F341" s="50"/>
      <c r="G341" s="204">
        <f>G342</f>
        <v>830</v>
      </c>
      <c r="H341" s="204">
        <v>790.1</v>
      </c>
      <c r="I341" s="212">
        <f t="shared" si="53"/>
        <v>0.95192771084337358</v>
      </c>
      <c r="J341" s="42"/>
      <c r="K341" s="43">
        <f t="shared" si="54"/>
        <v>0</v>
      </c>
      <c r="L341" s="43">
        <f t="shared" si="55"/>
        <v>0</v>
      </c>
      <c r="M341" s="43">
        <f t="shared" si="56"/>
        <v>0</v>
      </c>
      <c r="N341" s="57">
        <f t="shared" si="57"/>
        <v>0</v>
      </c>
      <c r="O341" s="57">
        <f t="shared" si="58"/>
        <v>0</v>
      </c>
      <c r="P341" s="57">
        <f t="shared" si="59"/>
        <v>0</v>
      </c>
    </row>
    <row r="342" spans="2:16">
      <c r="B342" s="15" t="s">
        <v>25</v>
      </c>
      <c r="C342" s="50" t="s">
        <v>66</v>
      </c>
      <c r="D342" s="50" t="s">
        <v>56</v>
      </c>
      <c r="E342" s="50" t="s">
        <v>163</v>
      </c>
      <c r="F342" s="50" t="s">
        <v>26</v>
      </c>
      <c r="G342" s="204">
        <v>830</v>
      </c>
      <c r="H342" s="204">
        <v>790.1</v>
      </c>
      <c r="I342" s="212">
        <f t="shared" si="53"/>
        <v>0.95192771084337358</v>
      </c>
      <c r="J342" s="42">
        <v>1</v>
      </c>
      <c r="K342" s="43">
        <f t="shared" si="54"/>
        <v>830</v>
      </c>
      <c r="L342" s="43">
        <f t="shared" si="55"/>
        <v>790.1</v>
      </c>
      <c r="M342" s="43">
        <f t="shared" si="56"/>
        <v>0.95192771084337358</v>
      </c>
      <c r="N342" s="57">
        <f t="shared" si="57"/>
        <v>0</v>
      </c>
      <c r="O342" s="57">
        <f t="shared" si="58"/>
        <v>0</v>
      </c>
      <c r="P342" s="57">
        <f t="shared" si="59"/>
        <v>0</v>
      </c>
    </row>
    <row r="343" spans="2:16">
      <c r="B343" s="14" t="s">
        <v>34</v>
      </c>
      <c r="C343" s="11" t="s">
        <v>66</v>
      </c>
      <c r="D343" s="11" t="s">
        <v>35</v>
      </c>
      <c r="E343" s="11"/>
      <c r="F343" s="11"/>
      <c r="G343" s="203">
        <f>G344</f>
        <v>5644.7</v>
      </c>
      <c r="H343" s="203">
        <v>5552.4</v>
      </c>
      <c r="I343" s="207">
        <f t="shared" si="53"/>
        <v>0.98364837812461248</v>
      </c>
      <c r="J343" s="42"/>
      <c r="K343" s="43">
        <f t="shared" si="54"/>
        <v>0</v>
      </c>
      <c r="L343" s="43">
        <f t="shared" si="55"/>
        <v>0</v>
      </c>
      <c r="M343" s="43">
        <f t="shared" si="56"/>
        <v>0</v>
      </c>
      <c r="N343" s="57">
        <f t="shared" si="57"/>
        <v>0</v>
      </c>
      <c r="O343" s="57">
        <f t="shared" si="58"/>
        <v>0</v>
      </c>
      <c r="P343" s="57">
        <f t="shared" si="59"/>
        <v>0</v>
      </c>
    </row>
    <row r="344" spans="2:16">
      <c r="B344" s="15" t="s">
        <v>76</v>
      </c>
      <c r="C344" s="50" t="s">
        <v>66</v>
      </c>
      <c r="D344" s="50" t="s">
        <v>35</v>
      </c>
      <c r="E344" s="50" t="s">
        <v>139</v>
      </c>
      <c r="F344" s="50"/>
      <c r="G344" s="204">
        <f>G345</f>
        <v>5644.7</v>
      </c>
      <c r="H344" s="204">
        <v>5552.4</v>
      </c>
      <c r="I344" s="212">
        <f t="shared" si="53"/>
        <v>0.98364837812461248</v>
      </c>
      <c r="J344" s="43"/>
      <c r="K344" s="43">
        <f t="shared" si="54"/>
        <v>0</v>
      </c>
      <c r="L344" s="43">
        <f t="shared" si="55"/>
        <v>0</v>
      </c>
      <c r="M344" s="43">
        <f t="shared" si="56"/>
        <v>0</v>
      </c>
      <c r="N344" s="57">
        <f t="shared" si="57"/>
        <v>0</v>
      </c>
      <c r="O344" s="57">
        <f t="shared" si="58"/>
        <v>0</v>
      </c>
      <c r="P344" s="57">
        <f t="shared" si="59"/>
        <v>0</v>
      </c>
    </row>
    <row r="345" spans="2:16">
      <c r="B345" s="15" t="s">
        <v>116</v>
      </c>
      <c r="C345" s="50" t="s">
        <v>66</v>
      </c>
      <c r="D345" s="50" t="s">
        <v>35</v>
      </c>
      <c r="E345" s="50" t="s">
        <v>165</v>
      </c>
      <c r="F345" s="50"/>
      <c r="G345" s="204">
        <f>G347+G346</f>
        <v>5644.7</v>
      </c>
      <c r="H345" s="204">
        <v>5552.4</v>
      </c>
      <c r="I345" s="212">
        <f t="shared" si="53"/>
        <v>0.98364837812461248</v>
      </c>
      <c r="J345" s="42"/>
      <c r="K345" s="43">
        <f t="shared" si="54"/>
        <v>0</v>
      </c>
      <c r="L345" s="43">
        <f t="shared" si="55"/>
        <v>0</v>
      </c>
      <c r="M345" s="43">
        <f t="shared" si="56"/>
        <v>0</v>
      </c>
      <c r="N345" s="57">
        <f t="shared" si="57"/>
        <v>0</v>
      </c>
      <c r="O345" s="57">
        <f t="shared" si="58"/>
        <v>0</v>
      </c>
      <c r="P345" s="57">
        <f t="shared" si="59"/>
        <v>0</v>
      </c>
    </row>
    <row r="346" spans="2:16">
      <c r="B346" s="15" t="s">
        <v>19</v>
      </c>
      <c r="C346" s="50" t="s">
        <v>66</v>
      </c>
      <c r="D346" s="50" t="s">
        <v>35</v>
      </c>
      <c r="E346" s="50" t="s">
        <v>165</v>
      </c>
      <c r="F346" s="50" t="s">
        <v>20</v>
      </c>
      <c r="G346" s="204">
        <v>160</v>
      </c>
      <c r="H346" s="204">
        <v>82.4</v>
      </c>
      <c r="I346" s="212">
        <f t="shared" si="53"/>
        <v>0.51500000000000001</v>
      </c>
      <c r="J346" s="42">
        <v>2</v>
      </c>
      <c r="K346" s="43">
        <f t="shared" si="54"/>
        <v>0</v>
      </c>
      <c r="L346" s="43">
        <f t="shared" si="55"/>
        <v>0</v>
      </c>
      <c r="M346" s="43">
        <f t="shared" si="56"/>
        <v>0</v>
      </c>
      <c r="N346" s="57">
        <f t="shared" si="57"/>
        <v>160</v>
      </c>
      <c r="O346" s="57">
        <f t="shared" si="58"/>
        <v>82.4</v>
      </c>
      <c r="P346" s="57">
        <f t="shared" si="59"/>
        <v>0.51500000000000001</v>
      </c>
    </row>
    <row r="347" spans="2:16">
      <c r="B347" s="15" t="s">
        <v>64</v>
      </c>
      <c r="C347" s="50" t="s">
        <v>66</v>
      </c>
      <c r="D347" s="50" t="s">
        <v>35</v>
      </c>
      <c r="E347" s="50" t="s">
        <v>165</v>
      </c>
      <c r="F347" s="50" t="s">
        <v>26</v>
      </c>
      <c r="G347" s="204">
        <f>5485.1-353.3-661+200+300+27.9+486</f>
        <v>5484.7</v>
      </c>
      <c r="H347" s="204">
        <v>5470</v>
      </c>
      <c r="I347" s="212">
        <f t="shared" ref="I347:I410" si="60">H347/G347</f>
        <v>0.99731981694532068</v>
      </c>
      <c r="J347" s="42">
        <v>2</v>
      </c>
      <c r="K347" s="43">
        <f t="shared" si="54"/>
        <v>0</v>
      </c>
      <c r="L347" s="43">
        <f t="shared" si="55"/>
        <v>0</v>
      </c>
      <c r="M347" s="43">
        <f t="shared" si="56"/>
        <v>0</v>
      </c>
      <c r="N347" s="57">
        <f t="shared" si="57"/>
        <v>5484.7</v>
      </c>
      <c r="O347" s="57">
        <f t="shared" si="58"/>
        <v>5470</v>
      </c>
      <c r="P347" s="57">
        <f t="shared" si="59"/>
        <v>0.99731981694532068</v>
      </c>
    </row>
    <row r="348" spans="2:16">
      <c r="B348" s="14" t="s">
        <v>321</v>
      </c>
      <c r="C348" s="11" t="s">
        <v>66</v>
      </c>
      <c r="D348" s="11" t="s">
        <v>322</v>
      </c>
      <c r="E348" s="50"/>
      <c r="F348" s="50"/>
      <c r="G348" s="203">
        <f>G349</f>
        <v>633.1</v>
      </c>
      <c r="H348" s="203">
        <v>611.70000000000005</v>
      </c>
      <c r="I348" s="207">
        <f t="shared" si="60"/>
        <v>0.96619807297425375</v>
      </c>
      <c r="J348" s="42"/>
      <c r="K348" s="43">
        <f t="shared" si="54"/>
        <v>0</v>
      </c>
      <c r="L348" s="43">
        <f t="shared" si="55"/>
        <v>0</v>
      </c>
      <c r="M348" s="43">
        <f t="shared" si="56"/>
        <v>0</v>
      </c>
      <c r="N348" s="57">
        <f t="shared" si="57"/>
        <v>0</v>
      </c>
      <c r="O348" s="57">
        <f t="shared" si="58"/>
        <v>0</v>
      </c>
      <c r="P348" s="57">
        <f t="shared" si="59"/>
        <v>0</v>
      </c>
    </row>
    <row r="349" spans="2:16">
      <c r="B349" s="15" t="s">
        <v>116</v>
      </c>
      <c r="C349" s="50" t="s">
        <v>66</v>
      </c>
      <c r="D349" s="50" t="s">
        <v>322</v>
      </c>
      <c r="E349" s="50" t="s">
        <v>165</v>
      </c>
      <c r="F349" s="50"/>
      <c r="G349" s="204">
        <f>G350+G351</f>
        <v>633.1</v>
      </c>
      <c r="H349" s="204">
        <v>611.70000000000005</v>
      </c>
      <c r="I349" s="212">
        <f t="shared" si="60"/>
        <v>0.96619807297425375</v>
      </c>
      <c r="J349" s="42"/>
      <c r="K349" s="43">
        <f t="shared" si="54"/>
        <v>0</v>
      </c>
      <c r="L349" s="43">
        <f t="shared" si="55"/>
        <v>0</v>
      </c>
      <c r="M349" s="43">
        <f t="shared" si="56"/>
        <v>0</v>
      </c>
      <c r="N349" s="57">
        <f t="shared" si="57"/>
        <v>0</v>
      </c>
      <c r="O349" s="57">
        <f t="shared" si="58"/>
        <v>0</v>
      </c>
      <c r="P349" s="57">
        <f t="shared" si="59"/>
        <v>0</v>
      </c>
    </row>
    <row r="350" spans="2:16" ht="38.25">
      <c r="B350" s="15" t="s">
        <v>17</v>
      </c>
      <c r="C350" s="50" t="s">
        <v>66</v>
      </c>
      <c r="D350" s="50" t="s">
        <v>322</v>
      </c>
      <c r="E350" s="50" t="s">
        <v>165</v>
      </c>
      <c r="F350" s="50" t="s">
        <v>18</v>
      </c>
      <c r="G350" s="117">
        <f>605-6.5-21.5-6.4</f>
        <v>570.6</v>
      </c>
      <c r="H350" s="117">
        <v>553.20000000000005</v>
      </c>
      <c r="I350" s="212">
        <f t="shared" si="60"/>
        <v>0.96950578338590965</v>
      </c>
      <c r="J350" s="42">
        <v>2</v>
      </c>
      <c r="K350" s="43">
        <f t="shared" si="54"/>
        <v>0</v>
      </c>
      <c r="L350" s="43">
        <f t="shared" si="55"/>
        <v>0</v>
      </c>
      <c r="M350" s="43">
        <f t="shared" si="56"/>
        <v>0</v>
      </c>
      <c r="N350" s="57">
        <f t="shared" si="57"/>
        <v>570.6</v>
      </c>
      <c r="O350" s="57">
        <f t="shared" si="58"/>
        <v>553.20000000000005</v>
      </c>
      <c r="P350" s="57">
        <f t="shared" si="59"/>
        <v>0.96950578338590965</v>
      </c>
    </row>
    <row r="351" spans="2:16">
      <c r="B351" s="15" t="s">
        <v>19</v>
      </c>
      <c r="C351" s="50" t="s">
        <v>66</v>
      </c>
      <c r="D351" s="50" t="s">
        <v>322</v>
      </c>
      <c r="E351" s="50" t="s">
        <v>165</v>
      </c>
      <c r="F351" s="50" t="s">
        <v>20</v>
      </c>
      <c r="G351" s="117">
        <f>56-7+13.5</f>
        <v>62.5</v>
      </c>
      <c r="H351" s="117">
        <v>58.5</v>
      </c>
      <c r="I351" s="212">
        <f t="shared" si="60"/>
        <v>0.93600000000000005</v>
      </c>
      <c r="J351" s="42">
        <v>2</v>
      </c>
      <c r="K351" s="43">
        <f t="shared" si="54"/>
        <v>0</v>
      </c>
      <c r="L351" s="43">
        <f t="shared" si="55"/>
        <v>0</v>
      </c>
      <c r="M351" s="43">
        <f t="shared" si="56"/>
        <v>0</v>
      </c>
      <c r="N351" s="57">
        <f t="shared" si="57"/>
        <v>62.5</v>
      </c>
      <c r="O351" s="57">
        <f t="shared" si="58"/>
        <v>58.5</v>
      </c>
      <c r="P351" s="57">
        <f t="shared" si="59"/>
        <v>0.93600000000000005</v>
      </c>
    </row>
    <row r="352" spans="2:16">
      <c r="B352" s="14" t="s">
        <v>84</v>
      </c>
      <c r="C352" s="11" t="s">
        <v>66</v>
      </c>
      <c r="D352" s="11" t="s">
        <v>85</v>
      </c>
      <c r="E352" s="11"/>
      <c r="F352" s="11"/>
      <c r="G352" s="203">
        <f>G353</f>
        <v>58974.200000000004</v>
      </c>
      <c r="H352" s="203">
        <v>50757</v>
      </c>
      <c r="I352" s="207">
        <f t="shared" si="60"/>
        <v>0.86066449396515754</v>
      </c>
      <c r="J352" s="42"/>
      <c r="K352" s="43">
        <f t="shared" si="54"/>
        <v>0</v>
      </c>
      <c r="L352" s="43">
        <f t="shared" si="55"/>
        <v>0</v>
      </c>
      <c r="M352" s="43">
        <f t="shared" si="56"/>
        <v>0</v>
      </c>
      <c r="N352" s="57">
        <f t="shared" si="57"/>
        <v>0</v>
      </c>
      <c r="O352" s="57">
        <f t="shared" si="58"/>
        <v>0</v>
      </c>
      <c r="P352" s="57">
        <f t="shared" si="59"/>
        <v>0</v>
      </c>
    </row>
    <row r="353" spans="2:16">
      <c r="B353" s="14" t="s">
        <v>323</v>
      </c>
      <c r="C353" s="11" t="s">
        <v>66</v>
      </c>
      <c r="D353" s="11" t="s">
        <v>324</v>
      </c>
      <c r="E353" s="11"/>
      <c r="F353" s="11"/>
      <c r="G353" s="203">
        <f>G354</f>
        <v>58974.200000000004</v>
      </c>
      <c r="H353" s="203">
        <v>50757</v>
      </c>
      <c r="I353" s="207">
        <f t="shared" si="60"/>
        <v>0.86066449396515754</v>
      </c>
      <c r="J353" s="42"/>
      <c r="K353" s="43">
        <f t="shared" si="54"/>
        <v>0</v>
      </c>
      <c r="L353" s="43">
        <f t="shared" si="55"/>
        <v>0</v>
      </c>
      <c r="M353" s="43">
        <f t="shared" si="56"/>
        <v>0</v>
      </c>
      <c r="N353" s="57">
        <f t="shared" si="57"/>
        <v>0</v>
      </c>
      <c r="O353" s="57">
        <f t="shared" si="58"/>
        <v>0</v>
      </c>
      <c r="P353" s="57">
        <f t="shared" si="59"/>
        <v>0</v>
      </c>
    </row>
    <row r="354" spans="2:16" s="6" customFormat="1">
      <c r="B354" s="14" t="s">
        <v>807</v>
      </c>
      <c r="C354" s="11" t="s">
        <v>66</v>
      </c>
      <c r="D354" s="11" t="s">
        <v>324</v>
      </c>
      <c r="E354" s="11" t="s">
        <v>526</v>
      </c>
      <c r="F354" s="11" t="s">
        <v>12</v>
      </c>
      <c r="G354" s="203">
        <f>G355+G357</f>
        <v>58974.200000000004</v>
      </c>
      <c r="H354" s="203">
        <v>50757</v>
      </c>
      <c r="I354" s="207">
        <f t="shared" si="60"/>
        <v>0.86066449396515754</v>
      </c>
      <c r="J354" s="13"/>
      <c r="K354" s="46">
        <f t="shared" si="54"/>
        <v>0</v>
      </c>
      <c r="L354" s="46">
        <f t="shared" si="55"/>
        <v>0</v>
      </c>
      <c r="M354" s="46">
        <f t="shared" si="56"/>
        <v>0</v>
      </c>
      <c r="N354" s="58">
        <f t="shared" si="57"/>
        <v>0</v>
      </c>
      <c r="O354" s="58">
        <f t="shared" si="58"/>
        <v>0</v>
      </c>
      <c r="P354" s="58">
        <f t="shared" si="59"/>
        <v>0</v>
      </c>
    </row>
    <row r="355" spans="2:16" ht="25.5" hidden="1">
      <c r="B355" s="15" t="s">
        <v>738</v>
      </c>
      <c r="C355" s="50" t="s">
        <v>66</v>
      </c>
      <c r="D355" s="50" t="s">
        <v>324</v>
      </c>
      <c r="E355" s="50" t="s">
        <v>659</v>
      </c>
      <c r="F355" s="50"/>
      <c r="G355" s="204">
        <f>G356</f>
        <v>0</v>
      </c>
      <c r="H355" s="204">
        <v>0</v>
      </c>
      <c r="I355" s="207" t="e">
        <f t="shared" si="60"/>
        <v>#DIV/0!</v>
      </c>
      <c r="J355" s="42"/>
      <c r="K355" s="43">
        <f t="shared" si="54"/>
        <v>0</v>
      </c>
      <c r="L355" s="43">
        <f t="shared" si="55"/>
        <v>0</v>
      </c>
      <c r="M355" s="43">
        <f t="shared" si="56"/>
        <v>0</v>
      </c>
      <c r="N355" s="57">
        <f t="shared" si="57"/>
        <v>0</v>
      </c>
      <c r="O355" s="57">
        <f t="shared" si="58"/>
        <v>0</v>
      </c>
      <c r="P355" s="57">
        <f t="shared" si="59"/>
        <v>0</v>
      </c>
    </row>
    <row r="356" spans="2:16" ht="18" hidden="1" customHeight="1">
      <c r="B356" s="62" t="s">
        <v>810</v>
      </c>
      <c r="C356" s="50" t="s">
        <v>66</v>
      </c>
      <c r="D356" s="50" t="s">
        <v>324</v>
      </c>
      <c r="E356" s="50" t="s">
        <v>659</v>
      </c>
      <c r="F356" s="50" t="s">
        <v>265</v>
      </c>
      <c r="G356" s="204">
        <f>248.5-248.5</f>
        <v>0</v>
      </c>
      <c r="H356" s="204">
        <v>0</v>
      </c>
      <c r="I356" s="207" t="e">
        <f t="shared" si="60"/>
        <v>#DIV/0!</v>
      </c>
      <c r="J356" s="42">
        <v>1</v>
      </c>
      <c r="K356" s="43">
        <f t="shared" si="54"/>
        <v>0</v>
      </c>
      <c r="L356" s="43">
        <f t="shared" si="55"/>
        <v>0</v>
      </c>
      <c r="M356" s="43" t="e">
        <f t="shared" si="56"/>
        <v>#DIV/0!</v>
      </c>
      <c r="N356" s="57">
        <f t="shared" si="57"/>
        <v>0</v>
      </c>
      <c r="O356" s="57">
        <f t="shared" si="58"/>
        <v>0</v>
      </c>
      <c r="P356" s="57">
        <f t="shared" si="59"/>
        <v>0</v>
      </c>
    </row>
    <row r="357" spans="2:16" ht="25.5" customHeight="1">
      <c r="B357" s="62" t="s">
        <v>830</v>
      </c>
      <c r="C357" s="50" t="s">
        <v>66</v>
      </c>
      <c r="D357" s="50" t="s">
        <v>324</v>
      </c>
      <c r="E357" s="50" t="s">
        <v>831</v>
      </c>
      <c r="F357" s="50"/>
      <c r="G357" s="204">
        <f>G358+G361+G362+G359+G360</f>
        <v>58974.200000000004</v>
      </c>
      <c r="H357" s="204">
        <v>50757</v>
      </c>
      <c r="I357" s="212">
        <f t="shared" si="60"/>
        <v>0.86066449396515754</v>
      </c>
      <c r="J357" s="42"/>
      <c r="K357" s="43"/>
      <c r="L357" s="43"/>
      <c r="M357" s="43"/>
      <c r="N357" s="57"/>
      <c r="O357" s="57"/>
      <c r="P357" s="57"/>
    </row>
    <row r="358" spans="2:16" ht="24.75" customHeight="1">
      <c r="B358" s="62" t="s">
        <v>868</v>
      </c>
      <c r="C358" s="50" t="s">
        <v>66</v>
      </c>
      <c r="D358" s="50" t="s">
        <v>324</v>
      </c>
      <c r="E358" s="50" t="s">
        <v>831</v>
      </c>
      <c r="F358" s="50" t="s">
        <v>265</v>
      </c>
      <c r="G358" s="204">
        <f>48701.8+993.9</f>
        <v>49695.700000000004</v>
      </c>
      <c r="H358" s="204">
        <v>49695.7</v>
      </c>
      <c r="I358" s="212">
        <f t="shared" si="60"/>
        <v>0.99999999999999989</v>
      </c>
      <c r="J358" s="42"/>
      <c r="K358" s="43"/>
      <c r="L358" s="43"/>
      <c r="M358" s="43"/>
      <c r="N358" s="57"/>
      <c r="O358" s="57"/>
      <c r="P358" s="57"/>
    </row>
    <row r="359" spans="2:16" ht="24.75" customHeight="1">
      <c r="B359" s="62" t="s">
        <v>918</v>
      </c>
      <c r="C359" s="50" t="s">
        <v>66</v>
      </c>
      <c r="D359" s="50" t="s">
        <v>324</v>
      </c>
      <c r="E359" s="50" t="s">
        <v>831</v>
      </c>
      <c r="F359" s="50" t="s">
        <v>265</v>
      </c>
      <c r="G359" s="204">
        <v>248.5</v>
      </c>
      <c r="H359" s="204">
        <v>248.5</v>
      </c>
      <c r="I359" s="212">
        <f t="shared" si="60"/>
        <v>1</v>
      </c>
      <c r="J359" s="42"/>
      <c r="K359" s="43"/>
      <c r="L359" s="43"/>
      <c r="M359" s="43"/>
      <c r="N359" s="57"/>
      <c r="O359" s="57"/>
      <c r="P359" s="57"/>
    </row>
    <row r="360" spans="2:16" ht="24.75" customHeight="1">
      <c r="B360" s="62" t="s">
        <v>931</v>
      </c>
      <c r="C360" s="50" t="s">
        <v>66</v>
      </c>
      <c r="D360" s="50" t="s">
        <v>324</v>
      </c>
      <c r="E360" s="50" t="s">
        <v>831</v>
      </c>
      <c r="F360" s="50" t="s">
        <v>265</v>
      </c>
      <c r="G360" s="204">
        <v>30</v>
      </c>
      <c r="H360" s="204">
        <v>30</v>
      </c>
      <c r="I360" s="212">
        <f t="shared" si="60"/>
        <v>1</v>
      </c>
      <c r="J360" s="42"/>
      <c r="K360" s="43"/>
      <c r="L360" s="43"/>
      <c r="M360" s="43"/>
      <c r="N360" s="57"/>
      <c r="O360" s="57"/>
      <c r="P360" s="57"/>
    </row>
    <row r="361" spans="2:16" s="137" customFormat="1" ht="24.75" customHeight="1">
      <c r="B361" s="62" t="s">
        <v>918</v>
      </c>
      <c r="C361" s="50" t="s">
        <v>66</v>
      </c>
      <c r="D361" s="50" t="s">
        <v>324</v>
      </c>
      <c r="E361" s="50" t="s">
        <v>919</v>
      </c>
      <c r="F361" s="50" t="s">
        <v>265</v>
      </c>
      <c r="G361" s="204">
        <f>4810+248.5-248.5+4000</f>
        <v>8810</v>
      </c>
      <c r="H361" s="204">
        <v>782.3</v>
      </c>
      <c r="I361" s="212">
        <f t="shared" si="60"/>
        <v>8.8796821793416567E-2</v>
      </c>
      <c r="J361" s="138"/>
      <c r="K361" s="148"/>
      <c r="L361" s="148"/>
      <c r="M361" s="148"/>
      <c r="N361" s="149"/>
      <c r="O361" s="149"/>
      <c r="P361" s="149"/>
    </row>
    <row r="362" spans="2:16" s="137" customFormat="1" ht="24.75" customHeight="1">
      <c r="B362" s="15" t="s">
        <v>19</v>
      </c>
      <c r="C362" s="50" t="s">
        <v>66</v>
      </c>
      <c r="D362" s="50" t="s">
        <v>324</v>
      </c>
      <c r="E362" s="50" t="s">
        <v>920</v>
      </c>
      <c r="F362" s="50" t="s">
        <v>20</v>
      </c>
      <c r="G362" s="204">
        <v>190</v>
      </c>
      <c r="H362" s="204">
        <v>5</v>
      </c>
      <c r="I362" s="212">
        <f t="shared" si="60"/>
        <v>2.6315789473684209E-2</v>
      </c>
      <c r="J362" s="138"/>
      <c r="K362" s="148"/>
      <c r="L362" s="148"/>
      <c r="M362" s="148"/>
      <c r="N362" s="149"/>
      <c r="O362" s="149"/>
      <c r="P362" s="149"/>
    </row>
    <row r="363" spans="2:16">
      <c r="B363" s="14" t="s">
        <v>86</v>
      </c>
      <c r="C363" s="11" t="s">
        <v>66</v>
      </c>
      <c r="D363" s="11" t="s">
        <v>87</v>
      </c>
      <c r="E363" s="11"/>
      <c r="F363" s="11"/>
      <c r="G363" s="203">
        <f>G364+G373</f>
        <v>2046.8</v>
      </c>
      <c r="H363" s="203">
        <v>1826.9</v>
      </c>
      <c r="I363" s="207">
        <f t="shared" si="60"/>
        <v>0.89256400234512412</v>
      </c>
      <c r="J363" s="42"/>
      <c r="K363" s="43">
        <f t="shared" si="54"/>
        <v>0</v>
      </c>
      <c r="L363" s="43">
        <f t="shared" si="55"/>
        <v>0</v>
      </c>
      <c r="M363" s="43">
        <f t="shared" si="56"/>
        <v>0</v>
      </c>
      <c r="N363" s="57">
        <f t="shared" si="57"/>
        <v>0</v>
      </c>
      <c r="O363" s="57">
        <f t="shared" si="58"/>
        <v>0</v>
      </c>
      <c r="P363" s="57">
        <f t="shared" si="59"/>
        <v>0</v>
      </c>
    </row>
    <row r="364" spans="2:16">
      <c r="B364" s="14" t="s">
        <v>88</v>
      </c>
      <c r="C364" s="11" t="s">
        <v>66</v>
      </c>
      <c r="D364" s="11" t="s">
        <v>55</v>
      </c>
      <c r="E364" s="11"/>
      <c r="F364" s="11"/>
      <c r="G364" s="203">
        <f>G365</f>
        <v>2016.8</v>
      </c>
      <c r="H364" s="203">
        <v>1800.9</v>
      </c>
      <c r="I364" s="207">
        <f t="shared" si="60"/>
        <v>0.8929492264974217</v>
      </c>
      <c r="J364" s="42"/>
      <c r="K364" s="43">
        <f t="shared" si="54"/>
        <v>0</v>
      </c>
      <c r="L364" s="43">
        <f t="shared" si="55"/>
        <v>0</v>
      </c>
      <c r="M364" s="43">
        <f t="shared" si="56"/>
        <v>0</v>
      </c>
      <c r="N364" s="57">
        <f t="shared" si="57"/>
        <v>0</v>
      </c>
      <c r="O364" s="57">
        <f t="shared" si="58"/>
        <v>0</v>
      </c>
      <c r="P364" s="57">
        <f t="shared" si="59"/>
        <v>0</v>
      </c>
    </row>
    <row r="365" spans="2:16">
      <c r="B365" s="15" t="s">
        <v>806</v>
      </c>
      <c r="C365" s="50" t="s">
        <v>66</v>
      </c>
      <c r="D365" s="50" t="s">
        <v>55</v>
      </c>
      <c r="E365" s="50" t="s">
        <v>139</v>
      </c>
      <c r="F365" s="50"/>
      <c r="G365" s="204">
        <f>G368+G366+G370</f>
        <v>2016.8</v>
      </c>
      <c r="H365" s="204">
        <v>1800.9</v>
      </c>
      <c r="I365" s="212">
        <f t="shared" si="60"/>
        <v>0.8929492264974217</v>
      </c>
      <c r="J365" s="42"/>
      <c r="K365" s="43">
        <f t="shared" si="54"/>
        <v>0</v>
      </c>
      <c r="L365" s="43">
        <f t="shared" si="55"/>
        <v>0</v>
      </c>
      <c r="M365" s="43">
        <f t="shared" si="56"/>
        <v>0</v>
      </c>
      <c r="N365" s="57">
        <f t="shared" si="57"/>
        <v>0</v>
      </c>
      <c r="O365" s="57">
        <f t="shared" si="58"/>
        <v>0</v>
      </c>
      <c r="P365" s="57">
        <f t="shared" si="59"/>
        <v>0</v>
      </c>
    </row>
    <row r="366" spans="2:16">
      <c r="B366" s="15" t="s">
        <v>117</v>
      </c>
      <c r="C366" s="50" t="s">
        <v>66</v>
      </c>
      <c r="D366" s="50" t="s">
        <v>55</v>
      </c>
      <c r="E366" s="50" t="s">
        <v>407</v>
      </c>
      <c r="F366" s="50"/>
      <c r="G366" s="204">
        <f>G367</f>
        <v>500</v>
      </c>
      <c r="H366" s="204">
        <v>284.10000000000002</v>
      </c>
      <c r="I366" s="212">
        <f t="shared" si="60"/>
        <v>0.56820000000000004</v>
      </c>
      <c r="J366" s="42"/>
      <c r="K366" s="43">
        <f t="shared" si="54"/>
        <v>0</v>
      </c>
      <c r="L366" s="43">
        <f t="shared" si="55"/>
        <v>0</v>
      </c>
      <c r="M366" s="43">
        <f t="shared" si="56"/>
        <v>0</v>
      </c>
      <c r="N366" s="57">
        <f t="shared" si="57"/>
        <v>0</v>
      </c>
      <c r="O366" s="57">
        <f t="shared" si="58"/>
        <v>0</v>
      </c>
      <c r="P366" s="57">
        <f t="shared" si="59"/>
        <v>0</v>
      </c>
    </row>
    <row r="367" spans="2:16" ht="25.5">
      <c r="B367" s="15" t="s">
        <v>513</v>
      </c>
      <c r="C367" s="50" t="s">
        <v>66</v>
      </c>
      <c r="D367" s="50" t="s">
        <v>55</v>
      </c>
      <c r="E367" s="50" t="s">
        <v>407</v>
      </c>
      <c r="F367" s="50" t="s">
        <v>31</v>
      </c>
      <c r="G367" s="204">
        <v>500</v>
      </c>
      <c r="H367" s="204">
        <v>284.10000000000002</v>
      </c>
      <c r="I367" s="212">
        <f t="shared" si="60"/>
        <v>0.56820000000000004</v>
      </c>
      <c r="J367" s="43">
        <v>1</v>
      </c>
      <c r="K367" s="43">
        <f t="shared" si="54"/>
        <v>500</v>
      </c>
      <c r="L367" s="43">
        <f t="shared" si="55"/>
        <v>284.10000000000002</v>
      </c>
      <c r="M367" s="43">
        <f t="shared" si="56"/>
        <v>0.56820000000000004</v>
      </c>
      <c r="N367" s="57">
        <f t="shared" si="57"/>
        <v>0</v>
      </c>
      <c r="O367" s="57">
        <f t="shared" si="58"/>
        <v>0</v>
      </c>
      <c r="P367" s="57">
        <f t="shared" si="59"/>
        <v>0</v>
      </c>
    </row>
    <row r="368" spans="2:16">
      <c r="B368" s="15" t="s">
        <v>117</v>
      </c>
      <c r="C368" s="50" t="s">
        <v>66</v>
      </c>
      <c r="D368" s="50" t="s">
        <v>55</v>
      </c>
      <c r="E368" s="50" t="s">
        <v>167</v>
      </c>
      <c r="F368" s="50"/>
      <c r="G368" s="204">
        <f>G369</f>
        <v>650</v>
      </c>
      <c r="H368" s="204">
        <v>650</v>
      </c>
      <c r="I368" s="212">
        <f t="shared" si="60"/>
        <v>1</v>
      </c>
      <c r="J368" s="42"/>
      <c r="K368" s="43">
        <f t="shared" si="54"/>
        <v>0</v>
      </c>
      <c r="L368" s="43">
        <f t="shared" si="55"/>
        <v>0</v>
      </c>
      <c r="M368" s="43">
        <f t="shared" si="56"/>
        <v>0</v>
      </c>
      <c r="N368" s="57">
        <f t="shared" si="57"/>
        <v>0</v>
      </c>
      <c r="O368" s="57">
        <f t="shared" si="58"/>
        <v>0</v>
      </c>
      <c r="P368" s="57">
        <f t="shared" si="59"/>
        <v>0</v>
      </c>
    </row>
    <row r="369" spans="2:19" ht="25.5">
      <c r="B369" s="15" t="s">
        <v>30</v>
      </c>
      <c r="C369" s="50" t="s">
        <v>66</v>
      </c>
      <c r="D369" s="50" t="s">
        <v>55</v>
      </c>
      <c r="E369" s="50" t="s">
        <v>167</v>
      </c>
      <c r="F369" s="50" t="s">
        <v>31</v>
      </c>
      <c r="G369" s="204">
        <v>650</v>
      </c>
      <c r="H369" s="204">
        <v>650</v>
      </c>
      <c r="I369" s="212">
        <f t="shared" si="60"/>
        <v>1</v>
      </c>
      <c r="J369" s="43">
        <v>1</v>
      </c>
      <c r="K369" s="43">
        <f t="shared" si="54"/>
        <v>650</v>
      </c>
      <c r="L369" s="43">
        <f t="shared" si="55"/>
        <v>650</v>
      </c>
      <c r="M369" s="43">
        <f t="shared" si="56"/>
        <v>1</v>
      </c>
      <c r="N369" s="57">
        <f t="shared" si="57"/>
        <v>0</v>
      </c>
      <c r="O369" s="57">
        <f t="shared" si="58"/>
        <v>0</v>
      </c>
      <c r="P369" s="57">
        <f t="shared" si="59"/>
        <v>0</v>
      </c>
    </row>
    <row r="370" spans="2:19" ht="79.5" customHeight="1">
      <c r="B370" s="16" t="s">
        <v>589</v>
      </c>
      <c r="C370" s="50" t="s">
        <v>66</v>
      </c>
      <c r="D370" s="50" t="s">
        <v>55</v>
      </c>
      <c r="E370" s="50" t="s">
        <v>588</v>
      </c>
      <c r="F370" s="50"/>
      <c r="G370" s="204">
        <f>G371</f>
        <v>866.8</v>
      </c>
      <c r="H370" s="204">
        <v>866.8</v>
      </c>
      <c r="I370" s="212">
        <f t="shared" si="60"/>
        <v>1</v>
      </c>
      <c r="J370" s="43"/>
      <c r="K370" s="43">
        <f t="shared" si="54"/>
        <v>0</v>
      </c>
      <c r="L370" s="43">
        <f t="shared" si="55"/>
        <v>0</v>
      </c>
      <c r="M370" s="43">
        <f t="shared" si="56"/>
        <v>0</v>
      </c>
      <c r="N370" s="57">
        <f t="shared" si="57"/>
        <v>0</v>
      </c>
      <c r="O370" s="57">
        <f t="shared" si="58"/>
        <v>0</v>
      </c>
      <c r="P370" s="57">
        <f t="shared" si="59"/>
        <v>0</v>
      </c>
    </row>
    <row r="371" spans="2:19" ht="25.5">
      <c r="B371" s="15" t="s">
        <v>30</v>
      </c>
      <c r="C371" s="50" t="s">
        <v>66</v>
      </c>
      <c r="D371" s="50" t="s">
        <v>55</v>
      </c>
      <c r="E371" s="50" t="s">
        <v>588</v>
      </c>
      <c r="F371" s="50" t="s">
        <v>31</v>
      </c>
      <c r="G371" s="204">
        <f>825.9-19+59.9</f>
        <v>866.8</v>
      </c>
      <c r="H371" s="204">
        <v>866.8</v>
      </c>
      <c r="I371" s="212">
        <f t="shared" si="60"/>
        <v>1</v>
      </c>
      <c r="J371" s="43">
        <v>2</v>
      </c>
      <c r="K371" s="43">
        <f t="shared" si="54"/>
        <v>0</v>
      </c>
      <c r="L371" s="43">
        <f t="shared" si="55"/>
        <v>0</v>
      </c>
      <c r="M371" s="43">
        <f t="shared" si="56"/>
        <v>0</v>
      </c>
      <c r="N371" s="57">
        <f t="shared" si="57"/>
        <v>866.8</v>
      </c>
      <c r="O371" s="57">
        <f t="shared" si="58"/>
        <v>866.8</v>
      </c>
      <c r="P371" s="57">
        <f t="shared" si="59"/>
        <v>1</v>
      </c>
    </row>
    <row r="372" spans="2:19">
      <c r="B372" s="107" t="s">
        <v>823</v>
      </c>
      <c r="C372" s="11" t="s">
        <v>66</v>
      </c>
      <c r="D372" s="11" t="s">
        <v>644</v>
      </c>
      <c r="E372" s="50"/>
      <c r="F372" s="50"/>
      <c r="G372" s="203">
        <f>G373</f>
        <v>30</v>
      </c>
      <c r="H372" s="203">
        <v>26</v>
      </c>
      <c r="I372" s="207">
        <f t="shared" si="60"/>
        <v>0.8666666666666667</v>
      </c>
      <c r="J372" s="43"/>
      <c r="K372" s="43">
        <f t="shared" si="54"/>
        <v>0</v>
      </c>
      <c r="L372" s="43">
        <f t="shared" si="55"/>
        <v>0</v>
      </c>
      <c r="M372" s="43">
        <f t="shared" si="56"/>
        <v>0</v>
      </c>
      <c r="N372" s="57">
        <f t="shared" si="57"/>
        <v>0</v>
      </c>
      <c r="O372" s="57">
        <f t="shared" si="58"/>
        <v>0</v>
      </c>
      <c r="P372" s="57">
        <f t="shared" si="59"/>
        <v>0</v>
      </c>
    </row>
    <row r="373" spans="2:19">
      <c r="B373" s="15" t="s">
        <v>78</v>
      </c>
      <c r="C373" s="50" t="s">
        <v>66</v>
      </c>
      <c r="D373" s="50" t="s">
        <v>644</v>
      </c>
      <c r="E373" s="50" t="s">
        <v>139</v>
      </c>
      <c r="F373" s="11"/>
      <c r="G373" s="204">
        <f>G374</f>
        <v>30</v>
      </c>
      <c r="H373" s="204">
        <v>26</v>
      </c>
      <c r="I373" s="212">
        <f t="shared" si="60"/>
        <v>0.8666666666666667</v>
      </c>
      <c r="J373" s="43"/>
      <c r="K373" s="43">
        <f t="shared" si="54"/>
        <v>0</v>
      </c>
      <c r="L373" s="43">
        <f t="shared" si="55"/>
        <v>0</v>
      </c>
      <c r="M373" s="43">
        <f t="shared" si="56"/>
        <v>0</v>
      </c>
      <c r="N373" s="57">
        <f t="shared" si="57"/>
        <v>0</v>
      </c>
      <c r="O373" s="57">
        <f t="shared" si="58"/>
        <v>0</v>
      </c>
      <c r="P373" s="57">
        <f t="shared" si="59"/>
        <v>0</v>
      </c>
    </row>
    <row r="374" spans="2:19">
      <c r="B374" s="15" t="s">
        <v>774</v>
      </c>
      <c r="C374" s="50" t="s">
        <v>66</v>
      </c>
      <c r="D374" s="50" t="s">
        <v>644</v>
      </c>
      <c r="E374" s="50" t="s">
        <v>645</v>
      </c>
      <c r="F374" s="50" t="s">
        <v>20</v>
      </c>
      <c r="G374" s="204">
        <v>30</v>
      </c>
      <c r="H374" s="204">
        <v>26</v>
      </c>
      <c r="I374" s="212">
        <f t="shared" si="60"/>
        <v>0.8666666666666667</v>
      </c>
      <c r="J374" s="43">
        <v>1</v>
      </c>
      <c r="K374" s="43">
        <f t="shared" si="54"/>
        <v>30</v>
      </c>
      <c r="L374" s="43">
        <f t="shared" si="55"/>
        <v>26</v>
      </c>
      <c r="M374" s="43">
        <f t="shared" si="56"/>
        <v>0.8666666666666667</v>
      </c>
      <c r="N374" s="57">
        <f t="shared" si="57"/>
        <v>0</v>
      </c>
      <c r="O374" s="57">
        <f t="shared" si="58"/>
        <v>0</v>
      </c>
      <c r="P374" s="57">
        <f t="shared" si="59"/>
        <v>0</v>
      </c>
    </row>
    <row r="375" spans="2:19">
      <c r="B375" s="74" t="s">
        <v>828</v>
      </c>
      <c r="C375" s="11" t="s">
        <v>66</v>
      </c>
      <c r="D375" s="11" t="s">
        <v>527</v>
      </c>
      <c r="E375" s="11"/>
      <c r="F375" s="11"/>
      <c r="G375" s="203">
        <f>G376</f>
        <v>300</v>
      </c>
      <c r="H375" s="203">
        <v>54.1</v>
      </c>
      <c r="I375" s="207">
        <f t="shared" si="60"/>
        <v>0.18033333333333335</v>
      </c>
      <c r="J375" s="42"/>
      <c r="K375" s="43">
        <f t="shared" si="54"/>
        <v>0</v>
      </c>
      <c r="L375" s="43">
        <f t="shared" si="55"/>
        <v>0</v>
      </c>
      <c r="M375" s="43">
        <f t="shared" si="56"/>
        <v>0</v>
      </c>
      <c r="N375" s="57">
        <f t="shared" si="57"/>
        <v>0</v>
      </c>
      <c r="O375" s="57">
        <f t="shared" si="58"/>
        <v>0</v>
      </c>
      <c r="P375" s="57">
        <f t="shared" si="59"/>
        <v>0</v>
      </c>
    </row>
    <row r="376" spans="2:19">
      <c r="B376" s="74" t="s">
        <v>829</v>
      </c>
      <c r="C376" s="11" t="s">
        <v>66</v>
      </c>
      <c r="D376" s="11" t="s">
        <v>528</v>
      </c>
      <c r="E376" s="11"/>
      <c r="F376" s="11"/>
      <c r="G376" s="203">
        <f>G377</f>
        <v>300</v>
      </c>
      <c r="H376" s="203">
        <v>54.1</v>
      </c>
      <c r="I376" s="207">
        <f t="shared" si="60"/>
        <v>0.18033333333333335</v>
      </c>
      <c r="J376" s="42"/>
      <c r="K376" s="43">
        <f t="shared" si="54"/>
        <v>0</v>
      </c>
      <c r="L376" s="43">
        <f t="shared" si="55"/>
        <v>0</v>
      </c>
      <c r="M376" s="43">
        <f t="shared" si="56"/>
        <v>0</v>
      </c>
      <c r="N376" s="57">
        <f t="shared" si="57"/>
        <v>0</v>
      </c>
      <c r="O376" s="57">
        <f t="shared" si="58"/>
        <v>0</v>
      </c>
      <c r="P376" s="57">
        <f t="shared" si="59"/>
        <v>0</v>
      </c>
    </row>
    <row r="377" spans="2:19">
      <c r="B377" s="15" t="s">
        <v>78</v>
      </c>
      <c r="C377" s="50" t="s">
        <v>66</v>
      </c>
      <c r="D377" s="50" t="s">
        <v>528</v>
      </c>
      <c r="E377" s="50" t="s">
        <v>139</v>
      </c>
      <c r="F377" s="50"/>
      <c r="G377" s="204">
        <f>G378</f>
        <v>300</v>
      </c>
      <c r="H377" s="204">
        <v>54.1</v>
      </c>
      <c r="I377" s="212">
        <f t="shared" si="60"/>
        <v>0.18033333333333335</v>
      </c>
      <c r="J377" s="42"/>
      <c r="K377" s="43">
        <f t="shared" si="54"/>
        <v>0</v>
      </c>
      <c r="L377" s="43">
        <f t="shared" si="55"/>
        <v>0</v>
      </c>
      <c r="M377" s="43">
        <f t="shared" si="56"/>
        <v>0</v>
      </c>
      <c r="N377" s="57">
        <f t="shared" si="57"/>
        <v>0</v>
      </c>
      <c r="O377" s="57">
        <f t="shared" si="58"/>
        <v>0</v>
      </c>
      <c r="P377" s="57">
        <f t="shared" si="59"/>
        <v>0</v>
      </c>
    </row>
    <row r="378" spans="2:19">
      <c r="B378" s="15" t="s">
        <v>538</v>
      </c>
      <c r="C378" s="50" t="s">
        <v>66</v>
      </c>
      <c r="D378" s="50" t="s">
        <v>528</v>
      </c>
      <c r="E378" s="50" t="s">
        <v>529</v>
      </c>
      <c r="F378" s="50"/>
      <c r="G378" s="204">
        <f>G379</f>
        <v>300</v>
      </c>
      <c r="H378" s="204">
        <v>54.1</v>
      </c>
      <c r="I378" s="212">
        <f t="shared" si="60"/>
        <v>0.18033333333333335</v>
      </c>
      <c r="J378" s="42"/>
      <c r="K378" s="43">
        <f t="shared" si="54"/>
        <v>0</v>
      </c>
      <c r="L378" s="43">
        <f t="shared" si="55"/>
        <v>0</v>
      </c>
      <c r="M378" s="43">
        <f t="shared" si="56"/>
        <v>0</v>
      </c>
      <c r="N378" s="57">
        <f t="shared" si="57"/>
        <v>0</v>
      </c>
      <c r="O378" s="57">
        <f t="shared" si="58"/>
        <v>0</v>
      </c>
      <c r="P378" s="57">
        <f t="shared" si="59"/>
        <v>0</v>
      </c>
    </row>
    <row r="379" spans="2:19">
      <c r="B379" s="15" t="s">
        <v>537</v>
      </c>
      <c r="C379" s="50" t="s">
        <v>66</v>
      </c>
      <c r="D379" s="50" t="s">
        <v>528</v>
      </c>
      <c r="E379" s="50" t="s">
        <v>529</v>
      </c>
      <c r="F379" s="50" t="s">
        <v>530</v>
      </c>
      <c r="G379" s="204">
        <v>300</v>
      </c>
      <c r="H379" s="204">
        <v>54.1</v>
      </c>
      <c r="I379" s="207">
        <f t="shared" si="60"/>
        <v>0.18033333333333335</v>
      </c>
      <c r="J379" s="43">
        <v>1</v>
      </c>
      <c r="K379" s="43">
        <f t="shared" si="54"/>
        <v>300</v>
      </c>
      <c r="L379" s="43">
        <f t="shared" si="55"/>
        <v>54.1</v>
      </c>
      <c r="M379" s="43">
        <f t="shared" si="56"/>
        <v>0.18033333333333335</v>
      </c>
      <c r="N379" s="57">
        <f t="shared" si="57"/>
        <v>0</v>
      </c>
      <c r="O379" s="57">
        <f t="shared" si="58"/>
        <v>0</v>
      </c>
      <c r="P379" s="57">
        <f t="shared" si="59"/>
        <v>0</v>
      </c>
    </row>
    <row r="380" spans="2:19" ht="25.5">
      <c r="B380" s="14" t="s">
        <v>366</v>
      </c>
      <c r="C380" s="11" t="s">
        <v>61</v>
      </c>
      <c r="D380" s="50"/>
      <c r="E380" s="50"/>
      <c r="F380" s="50"/>
      <c r="G380" s="203">
        <f>G404+G459+G381+G471</f>
        <v>25302.6</v>
      </c>
      <c r="H380" s="203">
        <f>H404+H459+H381+H471</f>
        <v>23692.100000000002</v>
      </c>
      <c r="I380" s="207">
        <f t="shared" si="60"/>
        <v>0.93635041458190083</v>
      </c>
      <c r="J380" s="43"/>
      <c r="K380" s="46">
        <f t="shared" ref="K380:P380" si="61">SUM(K381:K480)</f>
        <v>17240.7</v>
      </c>
      <c r="L380" s="46">
        <f t="shared" si="61"/>
        <v>16078.999999999998</v>
      </c>
      <c r="M380" s="46" t="e">
        <f t="shared" si="61"/>
        <v>#DIV/0!</v>
      </c>
      <c r="N380" s="58">
        <f t="shared" si="61"/>
        <v>2523.3999999999996</v>
      </c>
      <c r="O380" s="58">
        <f t="shared" si="61"/>
        <v>2259.6999999999998</v>
      </c>
      <c r="P380" s="58" t="e">
        <f t="shared" si="61"/>
        <v>#DIV/0!</v>
      </c>
      <c r="Q380" s="19"/>
      <c r="R380" s="19"/>
      <c r="S380" s="19"/>
    </row>
    <row r="381" spans="2:19">
      <c r="B381" s="14" t="s">
        <v>27</v>
      </c>
      <c r="C381" s="11" t="s">
        <v>61</v>
      </c>
      <c r="D381" s="11" t="s">
        <v>28</v>
      </c>
      <c r="E381" s="11" t="s">
        <v>12</v>
      </c>
      <c r="F381" s="11" t="s">
        <v>12</v>
      </c>
      <c r="G381" s="203">
        <f>G382+G395</f>
        <v>5345.2999999999993</v>
      </c>
      <c r="H381" s="203">
        <v>4995.3</v>
      </c>
      <c r="I381" s="207">
        <f t="shared" si="60"/>
        <v>0.93452191644996552</v>
      </c>
      <c r="J381" s="42"/>
      <c r="K381" s="43">
        <f t="shared" ref="K381:K458" si="62">SUMIF(J381,1,G381)</f>
        <v>0</v>
      </c>
      <c r="L381" s="43">
        <f t="shared" ref="L381:L458" si="63">SUMIF(J381,1,H381)</f>
        <v>0</v>
      </c>
      <c r="M381" s="43">
        <f t="shared" ref="M381:M458" si="64">SUMIF(J381,1,I381)</f>
        <v>0</v>
      </c>
      <c r="N381" s="57">
        <f t="shared" ref="N381:N458" si="65">SUMIF(J381,2,G381)</f>
        <v>0</v>
      </c>
      <c r="O381" s="57">
        <f t="shared" ref="O381:O458" si="66">SUMIF(J381,2,H381)</f>
        <v>0</v>
      </c>
      <c r="P381" s="57">
        <f t="shared" ref="P381:P458" si="67">SUMIF(J381,2,I381)</f>
        <v>0</v>
      </c>
      <c r="Q381" s="19"/>
      <c r="R381" s="19"/>
      <c r="S381" s="19"/>
    </row>
    <row r="382" spans="2:19">
      <c r="B382" s="14" t="s">
        <v>203</v>
      </c>
      <c r="C382" s="11" t="s">
        <v>61</v>
      </c>
      <c r="D382" s="11" t="s">
        <v>204</v>
      </c>
      <c r="E382" s="11"/>
      <c r="F382" s="11"/>
      <c r="G382" s="203">
        <f>G383+G388+G393</f>
        <v>5048.8999999999996</v>
      </c>
      <c r="H382" s="203">
        <v>4923.2</v>
      </c>
      <c r="I382" s="207">
        <f t="shared" si="60"/>
        <v>0.97510348788845103</v>
      </c>
      <c r="J382" s="43"/>
      <c r="K382" s="43">
        <f t="shared" si="62"/>
        <v>0</v>
      </c>
      <c r="L382" s="43">
        <f t="shared" si="63"/>
        <v>0</v>
      </c>
      <c r="M382" s="43">
        <f t="shared" si="64"/>
        <v>0</v>
      </c>
      <c r="N382" s="57">
        <f t="shared" si="65"/>
        <v>0</v>
      </c>
      <c r="O382" s="57">
        <f t="shared" si="66"/>
        <v>0</v>
      </c>
      <c r="P382" s="57">
        <f t="shared" si="67"/>
        <v>0</v>
      </c>
    </row>
    <row r="383" spans="2:19" s="6" customFormat="1" ht="39.75" customHeight="1">
      <c r="B383" s="64" t="s">
        <v>762</v>
      </c>
      <c r="C383" s="11" t="s">
        <v>61</v>
      </c>
      <c r="D383" s="11" t="s">
        <v>204</v>
      </c>
      <c r="E383" s="11" t="s">
        <v>168</v>
      </c>
      <c r="F383" s="11" t="s">
        <v>12</v>
      </c>
      <c r="G383" s="203">
        <f>G384</f>
        <v>5028.5</v>
      </c>
      <c r="H383" s="203">
        <v>4904</v>
      </c>
      <c r="I383" s="207">
        <f t="shared" si="60"/>
        <v>0.9752411255841702</v>
      </c>
      <c r="J383" s="46"/>
      <c r="K383" s="46">
        <f t="shared" si="62"/>
        <v>0</v>
      </c>
      <c r="L383" s="46">
        <f t="shared" si="63"/>
        <v>0</v>
      </c>
      <c r="M383" s="46">
        <f t="shared" si="64"/>
        <v>0</v>
      </c>
      <c r="N383" s="58">
        <f t="shared" si="65"/>
        <v>0</v>
      </c>
      <c r="O383" s="58">
        <f t="shared" si="66"/>
        <v>0</v>
      </c>
      <c r="P383" s="58">
        <f t="shared" si="67"/>
        <v>0</v>
      </c>
    </row>
    <row r="384" spans="2:19">
      <c r="B384" s="15" t="s">
        <v>103</v>
      </c>
      <c r="C384" s="50" t="s">
        <v>61</v>
      </c>
      <c r="D384" s="50" t="s">
        <v>204</v>
      </c>
      <c r="E384" s="50" t="s">
        <v>169</v>
      </c>
      <c r="F384" s="50"/>
      <c r="G384" s="204">
        <f>G385+G386+G387</f>
        <v>5028.5</v>
      </c>
      <c r="H384" s="204">
        <v>4904</v>
      </c>
      <c r="I384" s="212">
        <f t="shared" si="60"/>
        <v>0.9752411255841702</v>
      </c>
      <c r="J384" s="42"/>
      <c r="K384" s="43">
        <f t="shared" si="62"/>
        <v>0</v>
      </c>
      <c r="L384" s="43">
        <f t="shared" si="63"/>
        <v>0</v>
      </c>
      <c r="M384" s="43">
        <f t="shared" si="64"/>
        <v>0</v>
      </c>
      <c r="N384" s="57">
        <f t="shared" si="65"/>
        <v>0</v>
      </c>
      <c r="O384" s="57">
        <f t="shared" si="66"/>
        <v>0</v>
      </c>
      <c r="P384" s="57">
        <f t="shared" si="67"/>
        <v>0</v>
      </c>
    </row>
    <row r="385" spans="2:16" ht="25.5">
      <c r="B385" s="15" t="s">
        <v>218</v>
      </c>
      <c r="C385" s="50" t="s">
        <v>61</v>
      </c>
      <c r="D385" s="50" t="s">
        <v>204</v>
      </c>
      <c r="E385" s="50" t="s">
        <v>228</v>
      </c>
      <c r="F385" s="50" t="s">
        <v>31</v>
      </c>
      <c r="G385" s="204">
        <f>5160+700-800-280</f>
        <v>4780</v>
      </c>
      <c r="H385" s="204">
        <v>4780</v>
      </c>
      <c r="I385" s="212">
        <f t="shared" si="60"/>
        <v>1</v>
      </c>
      <c r="J385" s="43">
        <v>1</v>
      </c>
      <c r="K385" s="43">
        <f t="shared" si="62"/>
        <v>4780</v>
      </c>
      <c r="L385" s="43">
        <f t="shared" si="63"/>
        <v>4780</v>
      </c>
      <c r="M385" s="43">
        <f t="shared" si="64"/>
        <v>1</v>
      </c>
      <c r="N385" s="57">
        <f t="shared" si="65"/>
        <v>0</v>
      </c>
      <c r="O385" s="57">
        <f t="shared" si="66"/>
        <v>0</v>
      </c>
      <c r="P385" s="57">
        <f t="shared" si="67"/>
        <v>0</v>
      </c>
    </row>
    <row r="386" spans="2:16">
      <c r="B386" s="15" t="s">
        <v>220</v>
      </c>
      <c r="C386" s="50" t="s">
        <v>61</v>
      </c>
      <c r="D386" s="50" t="s">
        <v>204</v>
      </c>
      <c r="E386" s="50" t="s">
        <v>229</v>
      </c>
      <c r="F386" s="50" t="s">
        <v>31</v>
      </c>
      <c r="G386" s="204">
        <v>218.5</v>
      </c>
      <c r="H386" s="204">
        <v>110.5</v>
      </c>
      <c r="I386" s="212">
        <f t="shared" si="60"/>
        <v>0.50572082379862704</v>
      </c>
      <c r="J386" s="43">
        <v>1</v>
      </c>
      <c r="K386" s="43">
        <f t="shared" si="62"/>
        <v>218.5</v>
      </c>
      <c r="L386" s="43">
        <f t="shared" si="63"/>
        <v>110.5</v>
      </c>
      <c r="M386" s="43">
        <f t="shared" si="64"/>
        <v>0.50572082379862704</v>
      </c>
      <c r="N386" s="57">
        <f t="shared" si="65"/>
        <v>0</v>
      </c>
      <c r="O386" s="57">
        <f t="shared" si="66"/>
        <v>0</v>
      </c>
      <c r="P386" s="57">
        <f t="shared" si="67"/>
        <v>0</v>
      </c>
    </row>
    <row r="387" spans="2:16">
      <c r="B387" s="15" t="s">
        <v>222</v>
      </c>
      <c r="C387" s="50" t="s">
        <v>61</v>
      </c>
      <c r="D387" s="50" t="s">
        <v>204</v>
      </c>
      <c r="E387" s="50" t="s">
        <v>230</v>
      </c>
      <c r="F387" s="50" t="s">
        <v>31</v>
      </c>
      <c r="G387" s="204">
        <v>30</v>
      </c>
      <c r="H387" s="204">
        <v>13.5</v>
      </c>
      <c r="I387" s="212">
        <f t="shared" si="60"/>
        <v>0.45</v>
      </c>
      <c r="J387" s="43">
        <v>1</v>
      </c>
      <c r="K387" s="43">
        <f t="shared" si="62"/>
        <v>30</v>
      </c>
      <c r="L387" s="43">
        <f t="shared" si="63"/>
        <v>13.5</v>
      </c>
      <c r="M387" s="43">
        <f t="shared" si="64"/>
        <v>0.45</v>
      </c>
      <c r="N387" s="57">
        <f t="shared" si="65"/>
        <v>0</v>
      </c>
      <c r="O387" s="57">
        <f t="shared" si="66"/>
        <v>0</v>
      </c>
      <c r="P387" s="57">
        <f t="shared" si="67"/>
        <v>0</v>
      </c>
    </row>
    <row r="388" spans="2:16" hidden="1">
      <c r="B388" s="15" t="s">
        <v>78</v>
      </c>
      <c r="C388" s="50" t="s">
        <v>61</v>
      </c>
      <c r="D388" s="50" t="s">
        <v>204</v>
      </c>
      <c r="E388" s="50" t="s">
        <v>139</v>
      </c>
      <c r="F388" s="50"/>
      <c r="G388" s="204">
        <f>G389+G391</f>
        <v>0</v>
      </c>
      <c r="H388" s="204"/>
      <c r="I388" s="212" t="e">
        <f t="shared" si="60"/>
        <v>#DIV/0!</v>
      </c>
      <c r="J388" s="43"/>
      <c r="K388" s="43">
        <f t="shared" si="62"/>
        <v>0</v>
      </c>
      <c r="L388" s="43">
        <f t="shared" si="63"/>
        <v>0</v>
      </c>
      <c r="M388" s="43">
        <f t="shared" si="64"/>
        <v>0</v>
      </c>
      <c r="N388" s="57">
        <f t="shared" si="65"/>
        <v>0</v>
      </c>
      <c r="O388" s="57">
        <f t="shared" si="66"/>
        <v>0</v>
      </c>
      <c r="P388" s="57">
        <f t="shared" si="67"/>
        <v>0</v>
      </c>
    </row>
    <row r="389" spans="2:16" hidden="1">
      <c r="B389" s="15" t="s">
        <v>78</v>
      </c>
      <c r="C389" s="50" t="s">
        <v>61</v>
      </c>
      <c r="D389" s="50" t="s">
        <v>204</v>
      </c>
      <c r="E389" s="50" t="s">
        <v>348</v>
      </c>
      <c r="F389" s="50"/>
      <c r="G389" s="204">
        <f>G390</f>
        <v>0</v>
      </c>
      <c r="H389" s="204"/>
      <c r="I389" s="212" t="e">
        <f t="shared" si="60"/>
        <v>#DIV/0!</v>
      </c>
      <c r="J389" s="42"/>
      <c r="K389" s="43">
        <f t="shared" si="62"/>
        <v>0</v>
      </c>
      <c r="L389" s="43">
        <f t="shared" si="63"/>
        <v>0</v>
      </c>
      <c r="M389" s="43">
        <f t="shared" si="64"/>
        <v>0</v>
      </c>
      <c r="N389" s="57">
        <f t="shared" si="65"/>
        <v>0</v>
      </c>
      <c r="O389" s="57">
        <f t="shared" si="66"/>
        <v>0</v>
      </c>
      <c r="P389" s="57">
        <f t="shared" si="67"/>
        <v>0</v>
      </c>
    </row>
    <row r="390" spans="2:16" hidden="1">
      <c r="B390" s="15" t="s">
        <v>347</v>
      </c>
      <c r="C390" s="50" t="s">
        <v>61</v>
      </c>
      <c r="D390" s="50" t="s">
        <v>204</v>
      </c>
      <c r="E390" s="50" t="s">
        <v>348</v>
      </c>
      <c r="F390" s="50" t="s">
        <v>31</v>
      </c>
      <c r="G390" s="204">
        <v>0</v>
      </c>
      <c r="H390" s="204"/>
      <c r="I390" s="212" t="e">
        <f t="shared" si="60"/>
        <v>#DIV/0!</v>
      </c>
      <c r="J390" s="43">
        <v>1</v>
      </c>
      <c r="K390" s="43">
        <f t="shared" si="62"/>
        <v>0</v>
      </c>
      <c r="L390" s="43">
        <f t="shared" si="63"/>
        <v>0</v>
      </c>
      <c r="M390" s="43" t="e">
        <f t="shared" si="64"/>
        <v>#DIV/0!</v>
      </c>
      <c r="N390" s="57">
        <f t="shared" si="65"/>
        <v>0</v>
      </c>
      <c r="O390" s="57">
        <f t="shared" si="66"/>
        <v>0</v>
      </c>
      <c r="P390" s="57">
        <f t="shared" si="67"/>
        <v>0</v>
      </c>
    </row>
    <row r="391" spans="2:16" ht="25.5" hidden="1">
      <c r="B391" s="15" t="s">
        <v>408</v>
      </c>
      <c r="C391" s="50" t="s">
        <v>61</v>
      </c>
      <c r="D391" s="50" t="s">
        <v>204</v>
      </c>
      <c r="E391" s="50" t="s">
        <v>407</v>
      </c>
      <c r="F391" s="50"/>
      <c r="G391" s="204">
        <f>G392</f>
        <v>0</v>
      </c>
      <c r="H391" s="204"/>
      <c r="I391" s="212" t="e">
        <f t="shared" si="60"/>
        <v>#DIV/0!</v>
      </c>
      <c r="J391" s="42"/>
      <c r="K391" s="43">
        <f t="shared" si="62"/>
        <v>0</v>
      </c>
      <c r="L391" s="43">
        <f t="shared" si="63"/>
        <v>0</v>
      </c>
      <c r="M391" s="43">
        <f t="shared" si="64"/>
        <v>0</v>
      </c>
      <c r="N391" s="57">
        <f t="shared" si="65"/>
        <v>0</v>
      </c>
      <c r="O391" s="57">
        <f t="shared" si="66"/>
        <v>0</v>
      </c>
      <c r="P391" s="57">
        <f t="shared" si="67"/>
        <v>0</v>
      </c>
    </row>
    <row r="392" spans="2:16" ht="25.5" hidden="1">
      <c r="B392" s="15" t="s">
        <v>30</v>
      </c>
      <c r="C392" s="50" t="s">
        <v>61</v>
      </c>
      <c r="D392" s="50" t="s">
        <v>204</v>
      </c>
      <c r="E392" s="50" t="s">
        <v>407</v>
      </c>
      <c r="F392" s="50" t="s">
        <v>31</v>
      </c>
      <c r="G392" s="204">
        <v>0</v>
      </c>
      <c r="H392" s="204"/>
      <c r="I392" s="212" t="e">
        <f t="shared" si="60"/>
        <v>#DIV/0!</v>
      </c>
      <c r="J392" s="42">
        <v>1</v>
      </c>
      <c r="K392" s="43">
        <f t="shared" si="62"/>
        <v>0</v>
      </c>
      <c r="L392" s="43">
        <f t="shared" si="63"/>
        <v>0</v>
      </c>
      <c r="M392" s="43" t="e">
        <f t="shared" si="64"/>
        <v>#DIV/0!</v>
      </c>
      <c r="N392" s="57">
        <f t="shared" si="65"/>
        <v>0</v>
      </c>
      <c r="O392" s="57">
        <f t="shared" si="66"/>
        <v>0</v>
      </c>
      <c r="P392" s="57">
        <f t="shared" si="67"/>
        <v>0</v>
      </c>
    </row>
    <row r="393" spans="2:16" ht="42" customHeight="1">
      <c r="B393" s="15" t="s">
        <v>602</v>
      </c>
      <c r="C393" s="50" t="s">
        <v>61</v>
      </c>
      <c r="D393" s="50" t="s">
        <v>204</v>
      </c>
      <c r="E393" s="50" t="s">
        <v>603</v>
      </c>
      <c r="F393" s="50"/>
      <c r="G393" s="204">
        <f>G394</f>
        <v>20.399999999999999</v>
      </c>
      <c r="H393" s="204">
        <v>19.2</v>
      </c>
      <c r="I393" s="212">
        <f t="shared" si="60"/>
        <v>0.94117647058823528</v>
      </c>
      <c r="J393" s="42"/>
      <c r="K393" s="43"/>
      <c r="L393" s="43"/>
      <c r="M393" s="43"/>
      <c r="N393" s="57"/>
      <c r="O393" s="57"/>
      <c r="P393" s="57"/>
    </row>
    <row r="394" spans="2:16" ht="27" customHeight="1">
      <c r="B394" s="15" t="s">
        <v>30</v>
      </c>
      <c r="C394" s="50" t="s">
        <v>61</v>
      </c>
      <c r="D394" s="50" t="s">
        <v>204</v>
      </c>
      <c r="E394" s="50" t="s">
        <v>603</v>
      </c>
      <c r="F394" s="50" t="s">
        <v>31</v>
      </c>
      <c r="G394" s="204">
        <f>19.4+1</f>
        <v>20.399999999999999</v>
      </c>
      <c r="H394" s="204">
        <v>19.2</v>
      </c>
      <c r="I394" s="212">
        <f t="shared" si="60"/>
        <v>0.94117647058823528</v>
      </c>
      <c r="J394" s="42"/>
      <c r="K394" s="43"/>
      <c r="L394" s="43"/>
      <c r="M394" s="43"/>
      <c r="N394" s="57"/>
      <c r="O394" s="57"/>
      <c r="P394" s="57"/>
    </row>
    <row r="395" spans="2:16">
      <c r="B395" s="14" t="s">
        <v>50</v>
      </c>
      <c r="C395" s="11" t="s">
        <v>61</v>
      </c>
      <c r="D395" s="11" t="s">
        <v>51</v>
      </c>
      <c r="E395" s="50"/>
      <c r="F395" s="50"/>
      <c r="G395" s="203">
        <f>G396+G401</f>
        <v>296.39999999999998</v>
      </c>
      <c r="H395" s="203">
        <v>72.099999999999994</v>
      </c>
      <c r="I395" s="207">
        <f t="shared" si="60"/>
        <v>0.2432523616734143</v>
      </c>
      <c r="J395" s="43"/>
      <c r="K395" s="43">
        <f t="shared" si="62"/>
        <v>0</v>
      </c>
      <c r="L395" s="43">
        <f t="shared" si="63"/>
        <v>0</v>
      </c>
      <c r="M395" s="43">
        <f t="shared" si="64"/>
        <v>0</v>
      </c>
      <c r="N395" s="57">
        <f t="shared" si="65"/>
        <v>0</v>
      </c>
      <c r="O395" s="57">
        <f t="shared" si="66"/>
        <v>0</v>
      </c>
      <c r="P395" s="57">
        <f t="shared" si="67"/>
        <v>0</v>
      </c>
    </row>
    <row r="396" spans="2:16" s="6" customFormat="1" ht="25.5">
      <c r="B396" s="104" t="s">
        <v>757</v>
      </c>
      <c r="C396" s="11" t="s">
        <v>61</v>
      </c>
      <c r="D396" s="11" t="s">
        <v>51</v>
      </c>
      <c r="E396" s="11" t="s">
        <v>198</v>
      </c>
      <c r="F396" s="11"/>
      <c r="G396" s="203">
        <f>G397</f>
        <v>281.39999999999998</v>
      </c>
      <c r="H396" s="203">
        <v>57.7</v>
      </c>
      <c r="I396" s="207">
        <f t="shared" si="60"/>
        <v>0.20504619758351103</v>
      </c>
      <c r="J396" s="13"/>
      <c r="K396" s="46">
        <f t="shared" si="62"/>
        <v>0</v>
      </c>
      <c r="L396" s="46">
        <f t="shared" si="63"/>
        <v>0</v>
      </c>
      <c r="M396" s="46">
        <f t="shared" si="64"/>
        <v>0</v>
      </c>
      <c r="N396" s="58">
        <f t="shared" si="65"/>
        <v>0</v>
      </c>
      <c r="O396" s="58">
        <f t="shared" si="66"/>
        <v>0</v>
      </c>
      <c r="P396" s="58">
        <f t="shared" si="67"/>
        <v>0</v>
      </c>
    </row>
    <row r="397" spans="2:16" ht="25.5">
      <c r="B397" s="15" t="s">
        <v>99</v>
      </c>
      <c r="C397" s="50" t="s">
        <v>61</v>
      </c>
      <c r="D397" s="50" t="s">
        <v>51</v>
      </c>
      <c r="E397" s="50" t="s">
        <v>198</v>
      </c>
      <c r="F397" s="50" t="s">
        <v>20</v>
      </c>
      <c r="G397" s="204">
        <f>SUM(G398:G400)</f>
        <v>281.39999999999998</v>
      </c>
      <c r="H397" s="204">
        <v>57.7</v>
      </c>
      <c r="I397" s="212">
        <f t="shared" si="60"/>
        <v>0.20504619758351103</v>
      </c>
      <c r="J397" s="42">
        <v>1</v>
      </c>
      <c r="K397" s="43">
        <f t="shared" ref="K397" si="68">SUMIF(J397,1,G397)</f>
        <v>281.39999999999998</v>
      </c>
      <c r="L397" s="43">
        <f t="shared" ref="L397" si="69">SUMIF(J397,1,H397)</f>
        <v>57.7</v>
      </c>
      <c r="M397" s="43">
        <f t="shared" ref="M397" si="70">SUMIF(J397,1,I397)</f>
        <v>0.20504619758351103</v>
      </c>
      <c r="N397" s="57">
        <f t="shared" ref="N397" si="71">SUMIF(J397,2,G397)</f>
        <v>0</v>
      </c>
      <c r="O397" s="57">
        <f t="shared" ref="O397" si="72">SUMIF(J397,2,H397)</f>
        <v>0</v>
      </c>
      <c r="P397" s="57">
        <f t="shared" ref="P397" si="73">SUMIF(J397,2,I397)</f>
        <v>0</v>
      </c>
    </row>
    <row r="398" spans="2:16">
      <c r="B398" s="65" t="s">
        <v>758</v>
      </c>
      <c r="C398" s="50" t="s">
        <v>61</v>
      </c>
      <c r="D398" s="50" t="s">
        <v>51</v>
      </c>
      <c r="E398" s="50" t="s">
        <v>275</v>
      </c>
      <c r="F398" s="50" t="s">
        <v>20</v>
      </c>
      <c r="G398" s="204">
        <v>176.4</v>
      </c>
      <c r="H398" s="204">
        <v>6.2</v>
      </c>
      <c r="I398" s="212">
        <f t="shared" si="60"/>
        <v>3.5147392290249435E-2</v>
      </c>
      <c r="J398" s="42"/>
      <c r="K398" s="43">
        <f t="shared" si="62"/>
        <v>0</v>
      </c>
      <c r="L398" s="43">
        <f t="shared" si="63"/>
        <v>0</v>
      </c>
      <c r="M398" s="43">
        <f t="shared" si="64"/>
        <v>0</v>
      </c>
      <c r="N398" s="57">
        <f t="shared" si="65"/>
        <v>0</v>
      </c>
      <c r="O398" s="57">
        <f t="shared" si="66"/>
        <v>0</v>
      </c>
      <c r="P398" s="57">
        <f t="shared" si="67"/>
        <v>0</v>
      </c>
    </row>
    <row r="399" spans="2:16" ht="25.5">
      <c r="B399" s="65" t="s">
        <v>759</v>
      </c>
      <c r="C399" s="50" t="s">
        <v>61</v>
      </c>
      <c r="D399" s="50" t="s">
        <v>51</v>
      </c>
      <c r="E399" s="50" t="s">
        <v>442</v>
      </c>
      <c r="F399" s="50" t="s">
        <v>20</v>
      </c>
      <c r="G399" s="204">
        <v>90</v>
      </c>
      <c r="H399" s="204">
        <v>51.5</v>
      </c>
      <c r="I399" s="212">
        <f t="shared" si="60"/>
        <v>0.57222222222222219</v>
      </c>
      <c r="J399" s="42"/>
      <c r="K399" s="43">
        <f t="shared" si="62"/>
        <v>0</v>
      </c>
      <c r="L399" s="43">
        <f t="shared" si="63"/>
        <v>0</v>
      </c>
      <c r="M399" s="43">
        <f t="shared" si="64"/>
        <v>0</v>
      </c>
      <c r="N399" s="57">
        <f t="shared" si="65"/>
        <v>0</v>
      </c>
      <c r="O399" s="57">
        <f t="shared" si="66"/>
        <v>0</v>
      </c>
      <c r="P399" s="57">
        <f t="shared" si="67"/>
        <v>0</v>
      </c>
    </row>
    <row r="400" spans="2:16">
      <c r="B400" s="65" t="s">
        <v>816</v>
      </c>
      <c r="C400" s="50" t="s">
        <v>61</v>
      </c>
      <c r="D400" s="50" t="s">
        <v>51</v>
      </c>
      <c r="E400" s="50" t="s">
        <v>443</v>
      </c>
      <c r="F400" s="50" t="s">
        <v>20</v>
      </c>
      <c r="G400" s="204">
        <v>15</v>
      </c>
      <c r="H400" s="204">
        <v>0</v>
      </c>
      <c r="I400" s="212">
        <f t="shared" si="60"/>
        <v>0</v>
      </c>
      <c r="J400" s="42"/>
      <c r="K400" s="43">
        <f t="shared" si="62"/>
        <v>0</v>
      </c>
      <c r="L400" s="43">
        <f t="shared" si="63"/>
        <v>0</v>
      </c>
      <c r="M400" s="43">
        <f t="shared" si="64"/>
        <v>0</v>
      </c>
      <c r="N400" s="57">
        <f t="shared" si="65"/>
        <v>0</v>
      </c>
      <c r="O400" s="57">
        <f t="shared" si="66"/>
        <v>0</v>
      </c>
      <c r="P400" s="57">
        <f t="shared" si="67"/>
        <v>0</v>
      </c>
    </row>
    <row r="401" spans="2:16" s="6" customFormat="1" ht="38.25">
      <c r="B401" s="104" t="s">
        <v>761</v>
      </c>
      <c r="C401" s="11" t="s">
        <v>61</v>
      </c>
      <c r="D401" s="11" t="s">
        <v>51</v>
      </c>
      <c r="E401" s="11" t="s">
        <v>161</v>
      </c>
      <c r="F401" s="11"/>
      <c r="G401" s="203">
        <f t="shared" ref="G401:G402" si="74">G402</f>
        <v>15</v>
      </c>
      <c r="H401" s="203">
        <v>14.4</v>
      </c>
      <c r="I401" s="207">
        <f t="shared" si="60"/>
        <v>0.96000000000000008</v>
      </c>
      <c r="J401" s="13"/>
      <c r="K401" s="46">
        <f t="shared" si="62"/>
        <v>0</v>
      </c>
      <c r="L401" s="46">
        <f t="shared" si="63"/>
        <v>0</v>
      </c>
      <c r="M401" s="46">
        <f t="shared" si="64"/>
        <v>0</v>
      </c>
      <c r="N401" s="58">
        <f t="shared" si="65"/>
        <v>0</v>
      </c>
      <c r="O401" s="58">
        <f t="shared" si="66"/>
        <v>0</v>
      </c>
      <c r="P401" s="58">
        <f t="shared" si="67"/>
        <v>0</v>
      </c>
    </row>
    <row r="402" spans="2:16">
      <c r="B402" s="15" t="s">
        <v>249</v>
      </c>
      <c r="C402" s="50" t="s">
        <v>61</v>
      </c>
      <c r="D402" s="50" t="s">
        <v>51</v>
      </c>
      <c r="E402" s="50" t="s">
        <v>250</v>
      </c>
      <c r="F402" s="50"/>
      <c r="G402" s="204">
        <f t="shared" si="74"/>
        <v>15</v>
      </c>
      <c r="H402" s="204">
        <v>14.4</v>
      </c>
      <c r="I402" s="212">
        <f t="shared" si="60"/>
        <v>0.96000000000000008</v>
      </c>
      <c r="J402" s="42"/>
      <c r="K402" s="43">
        <f t="shared" si="62"/>
        <v>0</v>
      </c>
      <c r="L402" s="43">
        <f t="shared" si="63"/>
        <v>0</v>
      </c>
      <c r="M402" s="43">
        <f t="shared" si="64"/>
        <v>0</v>
      </c>
      <c r="N402" s="57">
        <f t="shared" si="65"/>
        <v>0</v>
      </c>
      <c r="O402" s="57">
        <f t="shared" si="66"/>
        <v>0</v>
      </c>
      <c r="P402" s="57">
        <f t="shared" si="67"/>
        <v>0</v>
      </c>
    </row>
    <row r="403" spans="2:16" ht="25.5">
      <c r="B403" s="15" t="s">
        <v>99</v>
      </c>
      <c r="C403" s="50" t="s">
        <v>61</v>
      </c>
      <c r="D403" s="50" t="s">
        <v>51</v>
      </c>
      <c r="E403" s="50" t="s">
        <v>280</v>
      </c>
      <c r="F403" s="50" t="s">
        <v>20</v>
      </c>
      <c r="G403" s="204">
        <v>15</v>
      </c>
      <c r="H403" s="204">
        <v>14.4</v>
      </c>
      <c r="I403" s="212">
        <f t="shared" si="60"/>
        <v>0.96000000000000008</v>
      </c>
      <c r="J403" s="42">
        <v>1</v>
      </c>
      <c r="K403" s="43">
        <f t="shared" si="62"/>
        <v>15</v>
      </c>
      <c r="L403" s="43">
        <f t="shared" si="63"/>
        <v>14.4</v>
      </c>
      <c r="M403" s="43">
        <f t="shared" si="64"/>
        <v>0.96000000000000008</v>
      </c>
      <c r="N403" s="57">
        <f t="shared" si="65"/>
        <v>0</v>
      </c>
      <c r="O403" s="57">
        <f t="shared" si="66"/>
        <v>0</v>
      </c>
      <c r="P403" s="57">
        <f t="shared" si="67"/>
        <v>0</v>
      </c>
    </row>
    <row r="404" spans="2:16">
      <c r="B404" s="14" t="s">
        <v>44</v>
      </c>
      <c r="C404" s="11" t="s">
        <v>61</v>
      </c>
      <c r="D404" s="11" t="s">
        <v>45</v>
      </c>
      <c r="E404" s="50"/>
      <c r="F404" s="50"/>
      <c r="G404" s="203">
        <f>G405+G447</f>
        <v>15037.4</v>
      </c>
      <c r="H404" s="203">
        <v>14549.9</v>
      </c>
      <c r="I404" s="207">
        <f t="shared" si="60"/>
        <v>0.96758083179273013</v>
      </c>
      <c r="J404" s="42"/>
      <c r="K404" s="43">
        <f t="shared" si="62"/>
        <v>0</v>
      </c>
      <c r="L404" s="43">
        <f t="shared" si="63"/>
        <v>0</v>
      </c>
      <c r="M404" s="43">
        <f t="shared" si="64"/>
        <v>0</v>
      </c>
      <c r="N404" s="57">
        <f t="shared" si="65"/>
        <v>0</v>
      </c>
      <c r="O404" s="57">
        <f t="shared" si="66"/>
        <v>0</v>
      </c>
      <c r="P404" s="57">
        <f t="shared" si="67"/>
        <v>0</v>
      </c>
    </row>
    <row r="405" spans="2:16">
      <c r="B405" s="14" t="s">
        <v>46</v>
      </c>
      <c r="C405" s="11" t="s">
        <v>61</v>
      </c>
      <c r="D405" s="11" t="s">
        <v>47</v>
      </c>
      <c r="E405" s="11" t="s">
        <v>12</v>
      </c>
      <c r="F405" s="11" t="s">
        <v>12</v>
      </c>
      <c r="G405" s="203">
        <f>G415+G420+G445+G434+G406</f>
        <v>12973.4</v>
      </c>
      <c r="H405" s="203">
        <v>12723.8</v>
      </c>
      <c r="I405" s="207">
        <f t="shared" si="60"/>
        <v>0.98076063329582064</v>
      </c>
      <c r="J405" s="42"/>
      <c r="K405" s="43">
        <f t="shared" si="62"/>
        <v>0</v>
      </c>
      <c r="L405" s="43">
        <f t="shared" si="63"/>
        <v>0</v>
      </c>
      <c r="M405" s="43">
        <f t="shared" si="64"/>
        <v>0</v>
      </c>
      <c r="N405" s="57">
        <f t="shared" si="65"/>
        <v>0</v>
      </c>
      <c r="O405" s="57">
        <f t="shared" si="66"/>
        <v>0</v>
      </c>
      <c r="P405" s="57">
        <f t="shared" si="67"/>
        <v>0</v>
      </c>
    </row>
    <row r="406" spans="2:16" s="6" customFormat="1" ht="51.75" customHeight="1">
      <c r="B406" s="104" t="s">
        <v>827</v>
      </c>
      <c r="C406" s="11" t="s">
        <v>61</v>
      </c>
      <c r="D406" s="11" t="s">
        <v>47</v>
      </c>
      <c r="E406" s="11" t="s">
        <v>763</v>
      </c>
      <c r="F406" s="11"/>
      <c r="G406" s="203">
        <f>G409+G407+G414</f>
        <v>2898.6000000000004</v>
      </c>
      <c r="H406" s="203">
        <v>2825.3</v>
      </c>
      <c r="I406" s="207">
        <f t="shared" si="60"/>
        <v>0.97471192989719169</v>
      </c>
      <c r="J406" s="13"/>
      <c r="K406" s="46">
        <f t="shared" si="62"/>
        <v>0</v>
      </c>
      <c r="L406" s="46">
        <f t="shared" si="63"/>
        <v>0</v>
      </c>
      <c r="M406" s="46">
        <f t="shared" si="64"/>
        <v>0</v>
      </c>
      <c r="N406" s="58">
        <f t="shared" si="65"/>
        <v>0</v>
      </c>
      <c r="O406" s="58">
        <f t="shared" si="66"/>
        <v>0</v>
      </c>
      <c r="P406" s="58">
        <f t="shared" si="67"/>
        <v>0</v>
      </c>
    </row>
    <row r="407" spans="2:16" s="161" customFormat="1" ht="42.75" hidden="1" customHeight="1">
      <c r="B407" s="105" t="s">
        <v>911</v>
      </c>
      <c r="C407" s="50" t="s">
        <v>61</v>
      </c>
      <c r="D407" s="50" t="s">
        <v>47</v>
      </c>
      <c r="E407" s="50" t="s">
        <v>906</v>
      </c>
      <c r="F407" s="50"/>
      <c r="G407" s="204">
        <f>G408</f>
        <v>0</v>
      </c>
      <c r="H407" s="204"/>
      <c r="I407" s="207" t="e">
        <f t="shared" si="60"/>
        <v>#DIV/0!</v>
      </c>
      <c r="J407" s="190"/>
      <c r="K407" s="191"/>
      <c r="L407" s="191"/>
      <c r="M407" s="191"/>
      <c r="N407" s="192"/>
      <c r="O407" s="192"/>
      <c r="P407" s="192"/>
    </row>
    <row r="408" spans="2:16" s="161" customFormat="1" ht="25.5" hidden="1" customHeight="1">
      <c r="B408" s="15" t="s">
        <v>554</v>
      </c>
      <c r="C408" s="50" t="s">
        <v>61</v>
      </c>
      <c r="D408" s="50" t="s">
        <v>47</v>
      </c>
      <c r="E408" s="50" t="s">
        <v>906</v>
      </c>
      <c r="F408" s="50" t="s">
        <v>31</v>
      </c>
      <c r="G408" s="204">
        <v>0</v>
      </c>
      <c r="H408" s="204"/>
      <c r="I408" s="207" t="e">
        <f t="shared" si="60"/>
        <v>#DIV/0!</v>
      </c>
      <c r="J408" s="190"/>
      <c r="K408" s="191"/>
      <c r="L408" s="191"/>
      <c r="M408" s="191"/>
      <c r="N408" s="192"/>
      <c r="O408" s="192"/>
      <c r="P408" s="192"/>
    </row>
    <row r="409" spans="2:16" s="6" customFormat="1" ht="14.25" customHeight="1">
      <c r="B409" s="65" t="s">
        <v>767</v>
      </c>
      <c r="C409" s="50" t="s">
        <v>61</v>
      </c>
      <c r="D409" s="50" t="s">
        <v>47</v>
      </c>
      <c r="E409" s="50" t="s">
        <v>764</v>
      </c>
      <c r="F409" s="11"/>
      <c r="G409" s="204">
        <f>G410+G411+G412+G413</f>
        <v>2825.3</v>
      </c>
      <c r="H409" s="204">
        <v>2825.3</v>
      </c>
      <c r="I409" s="212">
        <f t="shared" si="60"/>
        <v>1</v>
      </c>
      <c r="J409" s="13"/>
      <c r="K409" s="46"/>
      <c r="L409" s="46"/>
      <c r="M409" s="46"/>
      <c r="N409" s="58"/>
      <c r="O409" s="58"/>
      <c r="P409" s="58"/>
    </row>
    <row r="410" spans="2:16" ht="25.5">
      <c r="B410" s="15" t="s">
        <v>554</v>
      </c>
      <c r="C410" s="50" t="s">
        <v>61</v>
      </c>
      <c r="D410" s="50" t="s">
        <v>47</v>
      </c>
      <c r="E410" s="50" t="s">
        <v>885</v>
      </c>
      <c r="F410" s="50" t="s">
        <v>31</v>
      </c>
      <c r="G410" s="204">
        <f>300-106+326.7</f>
        <v>520.70000000000005</v>
      </c>
      <c r="H410" s="204">
        <v>520.70000000000005</v>
      </c>
      <c r="I410" s="212">
        <f t="shared" si="60"/>
        <v>1</v>
      </c>
      <c r="J410" s="42">
        <v>1</v>
      </c>
      <c r="K410" s="43">
        <f t="shared" si="62"/>
        <v>520.70000000000005</v>
      </c>
      <c r="L410" s="43">
        <f t="shared" si="63"/>
        <v>520.70000000000005</v>
      </c>
      <c r="M410" s="43">
        <f t="shared" si="64"/>
        <v>1</v>
      </c>
      <c r="N410" s="57">
        <f t="shared" si="65"/>
        <v>0</v>
      </c>
      <c r="O410" s="57">
        <f t="shared" si="66"/>
        <v>0</v>
      </c>
      <c r="P410" s="57">
        <f t="shared" si="67"/>
        <v>0</v>
      </c>
    </row>
    <row r="411" spans="2:16" ht="25.5">
      <c r="B411" s="15" t="s">
        <v>559</v>
      </c>
      <c r="C411" s="50" t="s">
        <v>61</v>
      </c>
      <c r="D411" s="50" t="s">
        <v>47</v>
      </c>
      <c r="E411" s="50" t="s">
        <v>884</v>
      </c>
      <c r="F411" s="50" t="s">
        <v>31</v>
      </c>
      <c r="G411" s="204">
        <v>2148.6</v>
      </c>
      <c r="H411" s="204">
        <v>2148.6</v>
      </c>
      <c r="I411" s="212">
        <f t="shared" ref="I411:I474" si="75">H411/G411</f>
        <v>1</v>
      </c>
      <c r="J411" s="42"/>
      <c r="K411" s="43"/>
      <c r="L411" s="43"/>
      <c r="M411" s="43"/>
      <c r="N411" s="57"/>
      <c r="O411" s="57"/>
      <c r="P411" s="57"/>
    </row>
    <row r="412" spans="2:16" ht="25.5">
      <c r="B412" s="15" t="s">
        <v>554</v>
      </c>
      <c r="C412" s="50" t="s">
        <v>61</v>
      </c>
      <c r="D412" s="50" t="s">
        <v>47</v>
      </c>
      <c r="E412" s="50" t="s">
        <v>884</v>
      </c>
      <c r="F412" s="50" t="s">
        <v>31</v>
      </c>
      <c r="G412" s="204">
        <v>106</v>
      </c>
      <c r="H412" s="204">
        <v>106</v>
      </c>
      <c r="I412" s="212">
        <f t="shared" si="75"/>
        <v>1</v>
      </c>
      <c r="J412" s="42"/>
      <c r="K412" s="43"/>
      <c r="L412" s="43"/>
      <c r="M412" s="43"/>
      <c r="N412" s="57"/>
      <c r="O412" s="57"/>
      <c r="P412" s="57"/>
    </row>
    <row r="413" spans="2:16" ht="25.5">
      <c r="B413" s="105" t="s">
        <v>893</v>
      </c>
      <c r="C413" s="50" t="s">
        <v>61</v>
      </c>
      <c r="D413" s="50" t="s">
        <v>47</v>
      </c>
      <c r="E413" s="50" t="s">
        <v>894</v>
      </c>
      <c r="F413" s="50" t="s">
        <v>31</v>
      </c>
      <c r="G413" s="204">
        <v>50</v>
      </c>
      <c r="H413" s="204">
        <v>50</v>
      </c>
      <c r="I413" s="212">
        <f t="shared" si="75"/>
        <v>1</v>
      </c>
      <c r="J413" s="42"/>
      <c r="K413" s="43"/>
      <c r="L413" s="43"/>
      <c r="M413" s="43"/>
      <c r="N413" s="57"/>
      <c r="O413" s="57"/>
      <c r="P413" s="57"/>
    </row>
    <row r="414" spans="2:16" s="137" customFormat="1" ht="25.5">
      <c r="B414" s="15" t="s">
        <v>554</v>
      </c>
      <c r="C414" s="50" t="s">
        <v>61</v>
      </c>
      <c r="D414" s="50" t="s">
        <v>47</v>
      </c>
      <c r="E414" s="50" t="s">
        <v>907</v>
      </c>
      <c r="F414" s="50" t="s">
        <v>31</v>
      </c>
      <c r="G414" s="204">
        <v>73.3</v>
      </c>
      <c r="H414" s="204">
        <v>0</v>
      </c>
      <c r="I414" s="212">
        <f t="shared" si="75"/>
        <v>0</v>
      </c>
      <c r="J414" s="138"/>
      <c r="K414" s="148"/>
      <c r="L414" s="148"/>
      <c r="M414" s="148"/>
      <c r="N414" s="149"/>
      <c r="O414" s="149"/>
      <c r="P414" s="149"/>
    </row>
    <row r="415" spans="2:16" s="6" customFormat="1" ht="25.5">
      <c r="B415" s="14" t="s">
        <v>765</v>
      </c>
      <c r="C415" s="11" t="s">
        <v>61</v>
      </c>
      <c r="D415" s="11" t="s">
        <v>47</v>
      </c>
      <c r="E415" s="11" t="s">
        <v>170</v>
      </c>
      <c r="F415" s="11" t="s">
        <v>12</v>
      </c>
      <c r="G415" s="203">
        <f>G416</f>
        <v>8381.9</v>
      </c>
      <c r="H415" s="203">
        <v>8205.7000000000007</v>
      </c>
      <c r="I415" s="207">
        <f t="shared" si="75"/>
        <v>0.97897851322492524</v>
      </c>
      <c r="J415" s="13"/>
      <c r="K415" s="46">
        <f t="shared" si="62"/>
        <v>0</v>
      </c>
      <c r="L415" s="46">
        <f t="shared" si="63"/>
        <v>0</v>
      </c>
      <c r="M415" s="46">
        <f t="shared" si="64"/>
        <v>0</v>
      </c>
      <c r="N415" s="58">
        <f t="shared" si="65"/>
        <v>0</v>
      </c>
      <c r="O415" s="58">
        <f t="shared" si="66"/>
        <v>0</v>
      </c>
      <c r="P415" s="58">
        <f t="shared" si="67"/>
        <v>0</v>
      </c>
    </row>
    <row r="416" spans="2:16">
      <c r="B416" s="15" t="s">
        <v>103</v>
      </c>
      <c r="C416" s="50" t="s">
        <v>61</v>
      </c>
      <c r="D416" s="50" t="s">
        <v>47</v>
      </c>
      <c r="E416" s="50" t="s">
        <v>171</v>
      </c>
      <c r="F416" s="50"/>
      <c r="G416" s="204">
        <f>G417+G418+G419</f>
        <v>8381.9</v>
      </c>
      <c r="H416" s="204">
        <v>8205.7000000000007</v>
      </c>
      <c r="I416" s="212">
        <f t="shared" si="75"/>
        <v>0.97897851322492524</v>
      </c>
      <c r="J416" s="42"/>
      <c r="K416" s="43">
        <f t="shared" si="62"/>
        <v>0</v>
      </c>
      <c r="L416" s="43">
        <f t="shared" si="63"/>
        <v>0</v>
      </c>
      <c r="M416" s="43">
        <f t="shared" si="64"/>
        <v>0</v>
      </c>
      <c r="N416" s="57">
        <f t="shared" si="65"/>
        <v>0</v>
      </c>
      <c r="O416" s="57">
        <f t="shared" si="66"/>
        <v>0</v>
      </c>
      <c r="P416" s="57">
        <f t="shared" si="67"/>
        <v>0</v>
      </c>
    </row>
    <row r="417" spans="2:16">
      <c r="B417" s="15" t="s">
        <v>224</v>
      </c>
      <c r="C417" s="50" t="s">
        <v>61</v>
      </c>
      <c r="D417" s="50" t="s">
        <v>47</v>
      </c>
      <c r="E417" s="50" t="s">
        <v>231</v>
      </c>
      <c r="F417" s="50" t="s">
        <v>31</v>
      </c>
      <c r="G417" s="204">
        <f>10174-257.2-905-800-1630</f>
        <v>6581.7999999999993</v>
      </c>
      <c r="H417" s="204">
        <v>6581.8</v>
      </c>
      <c r="I417" s="212">
        <f t="shared" si="75"/>
        <v>1.0000000000000002</v>
      </c>
      <c r="J417" s="42">
        <v>1</v>
      </c>
      <c r="K417" s="43">
        <f t="shared" si="62"/>
        <v>6581.7999999999993</v>
      </c>
      <c r="L417" s="43">
        <f t="shared" si="63"/>
        <v>6581.8</v>
      </c>
      <c r="M417" s="43">
        <f t="shared" si="64"/>
        <v>1.0000000000000002</v>
      </c>
      <c r="N417" s="57">
        <f t="shared" si="65"/>
        <v>0</v>
      </c>
      <c r="O417" s="57">
        <f t="shared" si="66"/>
        <v>0</v>
      </c>
      <c r="P417" s="57">
        <f t="shared" si="67"/>
        <v>0</v>
      </c>
    </row>
    <row r="418" spans="2:16">
      <c r="B418" s="15" t="s">
        <v>220</v>
      </c>
      <c r="C418" s="50" t="s">
        <v>61</v>
      </c>
      <c r="D418" s="50" t="s">
        <v>47</v>
      </c>
      <c r="E418" s="50" t="s">
        <v>232</v>
      </c>
      <c r="F418" s="50" t="s">
        <v>135</v>
      </c>
      <c r="G418" s="204">
        <f>1519.5+124-124+130</f>
        <v>1649.5</v>
      </c>
      <c r="H418" s="204">
        <v>1575.5</v>
      </c>
      <c r="I418" s="212">
        <f t="shared" si="75"/>
        <v>0.95513792058199454</v>
      </c>
      <c r="J418" s="42">
        <v>1</v>
      </c>
      <c r="K418" s="43">
        <f t="shared" si="62"/>
        <v>1649.5</v>
      </c>
      <c r="L418" s="43">
        <f t="shared" si="63"/>
        <v>1575.5</v>
      </c>
      <c r="M418" s="43">
        <f t="shared" si="64"/>
        <v>0.95513792058199454</v>
      </c>
      <c r="N418" s="57">
        <f t="shared" si="65"/>
        <v>0</v>
      </c>
      <c r="O418" s="57">
        <f t="shared" si="66"/>
        <v>0</v>
      </c>
      <c r="P418" s="57">
        <f t="shared" si="67"/>
        <v>0</v>
      </c>
    </row>
    <row r="419" spans="2:16">
      <c r="B419" s="15" t="s">
        <v>222</v>
      </c>
      <c r="C419" s="50" t="s">
        <v>61</v>
      </c>
      <c r="D419" s="50" t="s">
        <v>47</v>
      </c>
      <c r="E419" s="50" t="s">
        <v>233</v>
      </c>
      <c r="F419" s="50" t="s">
        <v>31</v>
      </c>
      <c r="G419" s="204">
        <f>300-19.4-130</f>
        <v>150.60000000000002</v>
      </c>
      <c r="H419" s="204">
        <v>48.4</v>
      </c>
      <c r="I419" s="212">
        <f t="shared" si="75"/>
        <v>0.32138114209827351</v>
      </c>
      <c r="J419" s="42">
        <v>1</v>
      </c>
      <c r="K419" s="43">
        <f t="shared" si="62"/>
        <v>150.60000000000002</v>
      </c>
      <c r="L419" s="43">
        <f t="shared" si="63"/>
        <v>48.4</v>
      </c>
      <c r="M419" s="43">
        <f t="shared" si="64"/>
        <v>0.32138114209827351</v>
      </c>
      <c r="N419" s="57">
        <f t="shared" si="65"/>
        <v>0</v>
      </c>
      <c r="O419" s="57">
        <f t="shared" si="66"/>
        <v>0</v>
      </c>
      <c r="P419" s="57">
        <f t="shared" si="67"/>
        <v>0</v>
      </c>
    </row>
    <row r="420" spans="2:16">
      <c r="B420" s="14" t="s">
        <v>78</v>
      </c>
      <c r="C420" s="11" t="s">
        <v>317</v>
      </c>
      <c r="D420" s="11" t="s">
        <v>47</v>
      </c>
      <c r="E420" s="11" t="s">
        <v>139</v>
      </c>
      <c r="F420" s="11"/>
      <c r="G420" s="203">
        <f>G421+G431+G423+G427+G429</f>
        <v>1692.8999999999996</v>
      </c>
      <c r="H420" s="203">
        <v>1692.8</v>
      </c>
      <c r="I420" s="207">
        <f t="shared" si="75"/>
        <v>0.99994092976549132</v>
      </c>
      <c r="J420" s="42"/>
      <c r="K420" s="43">
        <f t="shared" si="62"/>
        <v>0</v>
      </c>
      <c r="L420" s="43">
        <f t="shared" si="63"/>
        <v>0</v>
      </c>
      <c r="M420" s="43">
        <f t="shared" si="64"/>
        <v>0</v>
      </c>
      <c r="N420" s="57">
        <f t="shared" si="65"/>
        <v>0</v>
      </c>
      <c r="O420" s="57">
        <f t="shared" si="66"/>
        <v>0</v>
      </c>
      <c r="P420" s="57">
        <f t="shared" si="67"/>
        <v>0</v>
      </c>
    </row>
    <row r="421" spans="2:16" hidden="1">
      <c r="B421" s="15" t="s">
        <v>349</v>
      </c>
      <c r="C421" s="50" t="s">
        <v>61</v>
      </c>
      <c r="D421" s="50" t="s">
        <v>47</v>
      </c>
      <c r="E421" s="50" t="s">
        <v>350</v>
      </c>
      <c r="F421" s="50"/>
      <c r="G421" s="204">
        <f>G422</f>
        <v>0</v>
      </c>
      <c r="H421" s="204"/>
      <c r="I421" s="207" t="e">
        <f t="shared" si="75"/>
        <v>#DIV/0!</v>
      </c>
      <c r="J421" s="42"/>
      <c r="K421" s="43">
        <f t="shared" si="62"/>
        <v>0</v>
      </c>
      <c r="L421" s="43">
        <f t="shared" si="63"/>
        <v>0</v>
      </c>
      <c r="M421" s="43">
        <f t="shared" si="64"/>
        <v>0</v>
      </c>
      <c r="N421" s="57">
        <f t="shared" si="65"/>
        <v>0</v>
      </c>
      <c r="O421" s="57">
        <f t="shared" si="66"/>
        <v>0</v>
      </c>
      <c r="P421" s="57">
        <f t="shared" si="67"/>
        <v>0</v>
      </c>
    </row>
    <row r="422" spans="2:16" ht="25.5" hidden="1">
      <c r="B422" s="15" t="s">
        <v>30</v>
      </c>
      <c r="C422" s="50" t="s">
        <v>61</v>
      </c>
      <c r="D422" s="50" t="s">
        <v>47</v>
      </c>
      <c r="E422" s="50" t="s">
        <v>350</v>
      </c>
      <c r="F422" s="50" t="s">
        <v>31</v>
      </c>
      <c r="G422" s="204">
        <v>0</v>
      </c>
      <c r="H422" s="204"/>
      <c r="I422" s="207" t="e">
        <f t="shared" si="75"/>
        <v>#DIV/0!</v>
      </c>
      <c r="J422" s="42">
        <v>1</v>
      </c>
      <c r="K422" s="43">
        <f t="shared" si="62"/>
        <v>0</v>
      </c>
      <c r="L422" s="43">
        <f t="shared" si="63"/>
        <v>0</v>
      </c>
      <c r="M422" s="43" t="e">
        <f t="shared" si="64"/>
        <v>#DIV/0!</v>
      </c>
      <c r="N422" s="57">
        <f t="shared" si="65"/>
        <v>0</v>
      </c>
      <c r="O422" s="57">
        <f t="shared" si="66"/>
        <v>0</v>
      </c>
      <c r="P422" s="57">
        <f t="shared" si="67"/>
        <v>0</v>
      </c>
    </row>
    <row r="423" spans="2:16" s="137" customFormat="1" ht="1.5" customHeight="1">
      <c r="B423" s="15" t="s">
        <v>424</v>
      </c>
      <c r="C423" s="50" t="s">
        <v>317</v>
      </c>
      <c r="D423" s="50" t="s">
        <v>47</v>
      </c>
      <c r="E423" s="50" t="s">
        <v>148</v>
      </c>
      <c r="F423" s="50"/>
      <c r="G423" s="204">
        <f>G424+G425+G426</f>
        <v>145.1</v>
      </c>
      <c r="H423" s="204"/>
      <c r="I423" s="207">
        <f t="shared" si="75"/>
        <v>0</v>
      </c>
      <c r="J423" s="138"/>
      <c r="K423" s="148"/>
      <c r="L423" s="148"/>
      <c r="M423" s="148"/>
      <c r="N423" s="149"/>
      <c r="O423" s="149"/>
      <c r="P423" s="149"/>
    </row>
    <row r="424" spans="2:16" ht="38.25">
      <c r="B424" s="15" t="s">
        <v>17</v>
      </c>
      <c r="C424" s="50" t="s">
        <v>317</v>
      </c>
      <c r="D424" s="50" t="s">
        <v>47</v>
      </c>
      <c r="E424" s="50" t="s">
        <v>148</v>
      </c>
      <c r="F424" s="50" t="s">
        <v>18</v>
      </c>
      <c r="G424" s="204">
        <f>120+40-8.6-6.3</f>
        <v>145.1</v>
      </c>
      <c r="H424" s="204">
        <v>145.1</v>
      </c>
      <c r="I424" s="212">
        <f t="shared" si="75"/>
        <v>1</v>
      </c>
      <c r="J424" s="42"/>
      <c r="K424" s="43"/>
      <c r="L424" s="43"/>
      <c r="M424" s="43"/>
      <c r="N424" s="57"/>
      <c r="O424" s="57"/>
      <c r="P424" s="57"/>
    </row>
    <row r="425" spans="2:16" hidden="1">
      <c r="B425" s="15" t="s">
        <v>19</v>
      </c>
      <c r="C425" s="50" t="s">
        <v>317</v>
      </c>
      <c r="D425" s="50" t="s">
        <v>47</v>
      </c>
      <c r="E425" s="50" t="s">
        <v>148</v>
      </c>
      <c r="F425" s="50" t="s">
        <v>20</v>
      </c>
      <c r="G425" s="204">
        <f>5-5</f>
        <v>0</v>
      </c>
      <c r="H425" s="204"/>
      <c r="I425" s="212" t="e">
        <f t="shared" si="75"/>
        <v>#DIV/0!</v>
      </c>
      <c r="J425" s="42"/>
      <c r="K425" s="43"/>
      <c r="L425" s="43"/>
      <c r="M425" s="43"/>
      <c r="N425" s="57"/>
      <c r="O425" s="57"/>
      <c r="P425" s="57"/>
    </row>
    <row r="426" spans="2:16" hidden="1">
      <c r="B426" s="15" t="s">
        <v>21</v>
      </c>
      <c r="C426" s="50" t="s">
        <v>317</v>
      </c>
      <c r="D426" s="50" t="s">
        <v>47</v>
      </c>
      <c r="E426" s="50" t="s">
        <v>148</v>
      </c>
      <c r="F426" s="50" t="s">
        <v>22</v>
      </c>
      <c r="G426" s="204">
        <f>1-1</f>
        <v>0</v>
      </c>
      <c r="H426" s="204"/>
      <c r="I426" s="212" t="e">
        <f t="shared" si="75"/>
        <v>#DIV/0!</v>
      </c>
      <c r="J426" s="42"/>
      <c r="K426" s="43"/>
      <c r="L426" s="43"/>
      <c r="M426" s="43"/>
      <c r="N426" s="57"/>
      <c r="O426" s="57"/>
      <c r="P426" s="57"/>
    </row>
    <row r="427" spans="2:16">
      <c r="B427" s="15" t="s">
        <v>392</v>
      </c>
      <c r="C427" s="50" t="s">
        <v>61</v>
      </c>
      <c r="D427" s="50" t="s">
        <v>47</v>
      </c>
      <c r="E427" s="50" t="s">
        <v>393</v>
      </c>
      <c r="F427" s="50"/>
      <c r="G427" s="204">
        <f>G428</f>
        <v>124</v>
      </c>
      <c r="H427" s="204">
        <v>124</v>
      </c>
      <c r="I427" s="212">
        <f t="shared" si="75"/>
        <v>1</v>
      </c>
      <c r="J427" s="42"/>
      <c r="K427" s="43"/>
      <c r="L427" s="43"/>
      <c r="M427" s="43"/>
      <c r="N427" s="57"/>
      <c r="O427" s="57"/>
      <c r="P427" s="57"/>
    </row>
    <row r="428" spans="2:16" ht="25.5">
      <c r="B428" s="15" t="s">
        <v>394</v>
      </c>
      <c r="C428" s="50" t="s">
        <v>61</v>
      </c>
      <c r="D428" s="50" t="s">
        <v>47</v>
      </c>
      <c r="E428" s="50" t="s">
        <v>393</v>
      </c>
      <c r="F428" s="50" t="s">
        <v>31</v>
      </c>
      <c r="G428" s="204">
        <v>124</v>
      </c>
      <c r="H428" s="204">
        <v>124</v>
      </c>
      <c r="I428" s="212">
        <f t="shared" si="75"/>
        <v>1</v>
      </c>
      <c r="J428" s="42"/>
      <c r="K428" s="43"/>
      <c r="L428" s="43"/>
      <c r="M428" s="43"/>
      <c r="N428" s="57"/>
      <c r="O428" s="57"/>
      <c r="P428" s="57"/>
    </row>
    <row r="429" spans="2:16">
      <c r="B429" s="15" t="s">
        <v>392</v>
      </c>
      <c r="C429" s="50" t="s">
        <v>61</v>
      </c>
      <c r="D429" s="50" t="s">
        <v>47</v>
      </c>
      <c r="E429" s="50" t="s">
        <v>933</v>
      </c>
      <c r="F429" s="50"/>
      <c r="G429" s="204">
        <f>G430</f>
        <v>276.60000000000002</v>
      </c>
      <c r="H429" s="204">
        <v>276.5</v>
      </c>
      <c r="I429" s="212">
        <f t="shared" si="75"/>
        <v>0.99963846710050608</v>
      </c>
      <c r="J429" s="42"/>
      <c r="K429" s="43"/>
      <c r="L429" s="43"/>
      <c r="M429" s="43"/>
      <c r="N429" s="57"/>
      <c r="O429" s="57"/>
      <c r="P429" s="57"/>
    </row>
    <row r="430" spans="2:16" ht="25.5">
      <c r="B430" s="15" t="s">
        <v>394</v>
      </c>
      <c r="C430" s="50" t="s">
        <v>61</v>
      </c>
      <c r="D430" s="50" t="s">
        <v>47</v>
      </c>
      <c r="E430" s="50" t="s">
        <v>933</v>
      </c>
      <c r="F430" s="50" t="s">
        <v>31</v>
      </c>
      <c r="G430" s="204">
        <v>276.60000000000002</v>
      </c>
      <c r="H430" s="204">
        <v>276.5</v>
      </c>
      <c r="I430" s="212">
        <f t="shared" si="75"/>
        <v>0.99963846710050608</v>
      </c>
      <c r="J430" s="42"/>
      <c r="K430" s="43"/>
      <c r="L430" s="43"/>
      <c r="M430" s="43"/>
      <c r="N430" s="57"/>
      <c r="O430" s="57"/>
      <c r="P430" s="57"/>
    </row>
    <row r="431" spans="2:16" ht="25.5">
      <c r="B431" s="15" t="s">
        <v>127</v>
      </c>
      <c r="C431" s="50" t="s">
        <v>61</v>
      </c>
      <c r="D431" s="50" t="s">
        <v>47</v>
      </c>
      <c r="E431" s="50" t="s">
        <v>316</v>
      </c>
      <c r="F431" s="50"/>
      <c r="G431" s="204">
        <f>G432+G433</f>
        <v>1147.1999999999998</v>
      </c>
      <c r="H431" s="204">
        <v>1147.2</v>
      </c>
      <c r="I431" s="212">
        <f t="shared" si="75"/>
        <v>1.0000000000000002</v>
      </c>
      <c r="J431" s="42"/>
      <c r="K431" s="43">
        <f t="shared" si="62"/>
        <v>0</v>
      </c>
      <c r="L431" s="43">
        <f t="shared" si="63"/>
        <v>0</v>
      </c>
      <c r="M431" s="43">
        <f t="shared" si="64"/>
        <v>0</v>
      </c>
      <c r="N431" s="57">
        <f t="shared" si="65"/>
        <v>0</v>
      </c>
      <c r="O431" s="57">
        <f t="shared" si="66"/>
        <v>0</v>
      </c>
      <c r="P431" s="57">
        <f t="shared" si="67"/>
        <v>0</v>
      </c>
    </row>
    <row r="432" spans="2:16" ht="25.5">
      <c r="B432" s="15" t="s">
        <v>30</v>
      </c>
      <c r="C432" s="50" t="s">
        <v>61</v>
      </c>
      <c r="D432" s="50" t="s">
        <v>47</v>
      </c>
      <c r="E432" s="50" t="s">
        <v>316</v>
      </c>
      <c r="F432" s="50" t="s">
        <v>31</v>
      </c>
      <c r="G432" s="204">
        <f>1147.1+0.1</f>
        <v>1147.1999999999998</v>
      </c>
      <c r="H432" s="204">
        <v>1147.2</v>
      </c>
      <c r="I432" s="212">
        <f t="shared" si="75"/>
        <v>1.0000000000000002</v>
      </c>
      <c r="J432" s="42">
        <v>2</v>
      </c>
      <c r="K432" s="43">
        <f t="shared" si="62"/>
        <v>0</v>
      </c>
      <c r="L432" s="43">
        <f t="shared" si="63"/>
        <v>0</v>
      </c>
      <c r="M432" s="43">
        <f t="shared" si="64"/>
        <v>0</v>
      </c>
      <c r="N432" s="57">
        <f t="shared" si="65"/>
        <v>1147.1999999999998</v>
      </c>
      <c r="O432" s="57">
        <f t="shared" si="66"/>
        <v>1147.2</v>
      </c>
      <c r="P432" s="57">
        <f t="shared" si="67"/>
        <v>1.0000000000000002</v>
      </c>
    </row>
    <row r="433" spans="2:16" hidden="1">
      <c r="B433" s="15" t="s">
        <v>579</v>
      </c>
      <c r="C433" s="50" t="s">
        <v>61</v>
      </c>
      <c r="D433" s="50" t="s">
        <v>47</v>
      </c>
      <c r="E433" s="50" t="s">
        <v>316</v>
      </c>
      <c r="F433" s="50" t="s">
        <v>22</v>
      </c>
      <c r="G433" s="204">
        <v>0</v>
      </c>
      <c r="H433" s="204"/>
      <c r="I433" s="207" t="e">
        <f t="shared" si="75"/>
        <v>#DIV/0!</v>
      </c>
      <c r="J433" s="42">
        <v>2</v>
      </c>
      <c r="K433" s="43">
        <f t="shared" si="62"/>
        <v>0</v>
      </c>
      <c r="L433" s="43">
        <f t="shared" si="63"/>
        <v>0</v>
      </c>
      <c r="M433" s="43">
        <f t="shared" si="64"/>
        <v>0</v>
      </c>
      <c r="N433" s="57">
        <f t="shared" si="65"/>
        <v>0</v>
      </c>
      <c r="O433" s="57">
        <f t="shared" si="66"/>
        <v>0</v>
      </c>
      <c r="P433" s="57" t="e">
        <f t="shared" si="67"/>
        <v>#DIV/0!</v>
      </c>
    </row>
    <row r="434" spans="2:16" ht="25.5" hidden="1">
      <c r="B434" s="23" t="s">
        <v>444</v>
      </c>
      <c r="C434" s="50" t="s">
        <v>61</v>
      </c>
      <c r="D434" s="50" t="s">
        <v>47</v>
      </c>
      <c r="E434" s="50" t="s">
        <v>423</v>
      </c>
      <c r="F434" s="50"/>
      <c r="G434" s="204">
        <f>G435+G441+G443</f>
        <v>0</v>
      </c>
      <c r="H434" s="204"/>
      <c r="I434" s="207" t="e">
        <f t="shared" si="75"/>
        <v>#DIV/0!</v>
      </c>
      <c r="J434" s="42"/>
      <c r="K434" s="43">
        <f t="shared" si="62"/>
        <v>0</v>
      </c>
      <c r="L434" s="43">
        <f t="shared" si="63"/>
        <v>0</v>
      </c>
      <c r="M434" s="43">
        <f t="shared" si="64"/>
        <v>0</v>
      </c>
      <c r="N434" s="57">
        <f t="shared" si="65"/>
        <v>0</v>
      </c>
      <c r="O434" s="57">
        <f t="shared" si="66"/>
        <v>0</v>
      </c>
      <c r="P434" s="57">
        <f t="shared" si="67"/>
        <v>0</v>
      </c>
    </row>
    <row r="435" spans="2:16" ht="18" hidden="1" customHeight="1">
      <c r="B435" s="15" t="s">
        <v>424</v>
      </c>
      <c r="C435" s="50" t="s">
        <v>61</v>
      </c>
      <c r="D435" s="50" t="s">
        <v>47</v>
      </c>
      <c r="E435" s="50" t="s">
        <v>425</v>
      </c>
      <c r="F435" s="50"/>
      <c r="G435" s="204">
        <f>G436+G437+G438+G439+G440</f>
        <v>0</v>
      </c>
      <c r="H435" s="204"/>
      <c r="I435" s="207" t="e">
        <f t="shared" si="75"/>
        <v>#DIV/0!</v>
      </c>
      <c r="J435" s="42"/>
      <c r="K435" s="43">
        <f t="shared" si="62"/>
        <v>0</v>
      </c>
      <c r="L435" s="43">
        <f t="shared" si="63"/>
        <v>0</v>
      </c>
      <c r="M435" s="43">
        <f t="shared" si="64"/>
        <v>0</v>
      </c>
      <c r="N435" s="57">
        <f t="shared" si="65"/>
        <v>0</v>
      </c>
      <c r="O435" s="57">
        <f t="shared" si="66"/>
        <v>0</v>
      </c>
      <c r="P435" s="57">
        <f t="shared" si="67"/>
        <v>0</v>
      </c>
    </row>
    <row r="436" spans="2:16" ht="41.25" hidden="1" customHeight="1">
      <c r="B436" s="15" t="s">
        <v>17</v>
      </c>
      <c r="C436" s="50" t="s">
        <v>61</v>
      </c>
      <c r="D436" s="50" t="s">
        <v>47</v>
      </c>
      <c r="E436" s="50" t="s">
        <v>426</v>
      </c>
      <c r="F436" s="50" t="s">
        <v>79</v>
      </c>
      <c r="G436" s="204">
        <v>0</v>
      </c>
      <c r="H436" s="204"/>
      <c r="I436" s="207" t="e">
        <f t="shared" si="75"/>
        <v>#DIV/0!</v>
      </c>
      <c r="J436" s="42">
        <v>1</v>
      </c>
      <c r="K436" s="43">
        <f t="shared" si="62"/>
        <v>0</v>
      </c>
      <c r="L436" s="43">
        <f t="shared" si="63"/>
        <v>0</v>
      </c>
      <c r="M436" s="43" t="e">
        <f t="shared" si="64"/>
        <v>#DIV/0!</v>
      </c>
      <c r="N436" s="57">
        <f t="shared" si="65"/>
        <v>0</v>
      </c>
      <c r="O436" s="57">
        <f t="shared" si="66"/>
        <v>0</v>
      </c>
      <c r="P436" s="57">
        <f t="shared" si="67"/>
        <v>0</v>
      </c>
    </row>
    <row r="437" spans="2:16" hidden="1">
      <c r="B437" s="15" t="s">
        <v>19</v>
      </c>
      <c r="C437" s="50" t="s">
        <v>61</v>
      </c>
      <c r="D437" s="50" t="s">
        <v>47</v>
      </c>
      <c r="E437" s="50" t="s">
        <v>427</v>
      </c>
      <c r="F437" s="50" t="s">
        <v>20</v>
      </c>
      <c r="G437" s="204">
        <v>0</v>
      </c>
      <c r="H437" s="204"/>
      <c r="I437" s="207" t="e">
        <f t="shared" si="75"/>
        <v>#DIV/0!</v>
      </c>
      <c r="J437" s="42">
        <v>1</v>
      </c>
      <c r="K437" s="43">
        <f t="shared" si="62"/>
        <v>0</v>
      </c>
      <c r="L437" s="43">
        <f t="shared" si="63"/>
        <v>0</v>
      </c>
      <c r="M437" s="43" t="e">
        <f t="shared" si="64"/>
        <v>#DIV/0!</v>
      </c>
      <c r="N437" s="57">
        <f t="shared" si="65"/>
        <v>0</v>
      </c>
      <c r="O437" s="57">
        <f t="shared" si="66"/>
        <v>0</v>
      </c>
      <c r="P437" s="57">
        <f t="shared" si="67"/>
        <v>0</v>
      </c>
    </row>
    <row r="438" spans="2:16" hidden="1">
      <c r="B438" s="15" t="s">
        <v>21</v>
      </c>
      <c r="C438" s="50" t="s">
        <v>61</v>
      </c>
      <c r="D438" s="50" t="s">
        <v>47</v>
      </c>
      <c r="E438" s="50" t="s">
        <v>428</v>
      </c>
      <c r="F438" s="50" t="s">
        <v>22</v>
      </c>
      <c r="G438" s="204">
        <v>0</v>
      </c>
      <c r="H438" s="204"/>
      <c r="I438" s="207" t="e">
        <f t="shared" si="75"/>
        <v>#DIV/0!</v>
      </c>
      <c r="J438" s="42">
        <v>1</v>
      </c>
      <c r="K438" s="43">
        <f t="shared" si="62"/>
        <v>0</v>
      </c>
      <c r="L438" s="43">
        <f t="shared" si="63"/>
        <v>0</v>
      </c>
      <c r="M438" s="43" t="e">
        <f t="shared" si="64"/>
        <v>#DIV/0!</v>
      </c>
      <c r="N438" s="57">
        <f t="shared" si="65"/>
        <v>0</v>
      </c>
      <c r="O438" s="57">
        <f t="shared" si="66"/>
        <v>0</v>
      </c>
      <c r="P438" s="57">
        <f t="shared" si="67"/>
        <v>0</v>
      </c>
    </row>
    <row r="439" spans="2:16" ht="38.25" hidden="1">
      <c r="B439" s="15" t="s">
        <v>17</v>
      </c>
      <c r="C439" s="50" t="s">
        <v>61</v>
      </c>
      <c r="D439" s="50" t="s">
        <v>47</v>
      </c>
      <c r="E439" s="50" t="s">
        <v>543</v>
      </c>
      <c r="F439" s="50" t="s">
        <v>18</v>
      </c>
      <c r="G439" s="204">
        <v>0</v>
      </c>
      <c r="H439" s="204"/>
      <c r="I439" s="207" t="e">
        <f t="shared" si="75"/>
        <v>#DIV/0!</v>
      </c>
      <c r="J439" s="42">
        <v>1</v>
      </c>
      <c r="K439" s="43">
        <f t="shared" si="62"/>
        <v>0</v>
      </c>
      <c r="L439" s="43">
        <f t="shared" si="63"/>
        <v>0</v>
      </c>
      <c r="M439" s="43" t="e">
        <f t="shared" si="64"/>
        <v>#DIV/0!</v>
      </c>
      <c r="N439" s="57">
        <f t="shared" si="65"/>
        <v>0</v>
      </c>
      <c r="O439" s="57">
        <f t="shared" si="66"/>
        <v>0</v>
      </c>
      <c r="P439" s="57">
        <f t="shared" si="67"/>
        <v>0</v>
      </c>
    </row>
    <row r="440" spans="2:16" hidden="1">
      <c r="B440" s="15" t="s">
        <v>19</v>
      </c>
      <c r="C440" s="50" t="s">
        <v>61</v>
      </c>
      <c r="D440" s="50" t="s">
        <v>47</v>
      </c>
      <c r="E440" s="50" t="s">
        <v>543</v>
      </c>
      <c r="F440" s="50" t="s">
        <v>20</v>
      </c>
      <c r="G440" s="204">
        <v>0</v>
      </c>
      <c r="H440" s="204"/>
      <c r="I440" s="207" t="e">
        <f t="shared" si="75"/>
        <v>#DIV/0!</v>
      </c>
      <c r="J440" s="42">
        <v>1</v>
      </c>
      <c r="K440" s="43">
        <f t="shared" si="62"/>
        <v>0</v>
      </c>
      <c r="L440" s="43">
        <f t="shared" si="63"/>
        <v>0</v>
      </c>
      <c r="M440" s="43" t="e">
        <f t="shared" si="64"/>
        <v>#DIV/0!</v>
      </c>
      <c r="N440" s="57">
        <f t="shared" si="65"/>
        <v>0</v>
      </c>
      <c r="O440" s="57">
        <f t="shared" si="66"/>
        <v>0</v>
      </c>
      <c r="P440" s="57">
        <f t="shared" si="67"/>
        <v>0</v>
      </c>
    </row>
    <row r="441" spans="2:16" ht="25.5" hidden="1">
      <c r="B441" s="15" t="s">
        <v>434</v>
      </c>
      <c r="C441" s="50" t="s">
        <v>61</v>
      </c>
      <c r="D441" s="50" t="s">
        <v>47</v>
      </c>
      <c r="E441" s="50" t="s">
        <v>429</v>
      </c>
      <c r="F441" s="50"/>
      <c r="G441" s="204">
        <f>G442</f>
        <v>0</v>
      </c>
      <c r="H441" s="204"/>
      <c r="I441" s="207" t="e">
        <f t="shared" si="75"/>
        <v>#DIV/0!</v>
      </c>
      <c r="J441" s="42"/>
      <c r="K441" s="43">
        <f t="shared" si="62"/>
        <v>0</v>
      </c>
      <c r="L441" s="43">
        <f t="shared" si="63"/>
        <v>0</v>
      </c>
      <c r="M441" s="43">
        <f t="shared" si="64"/>
        <v>0</v>
      </c>
      <c r="N441" s="57">
        <f t="shared" si="65"/>
        <v>0</v>
      </c>
      <c r="O441" s="57">
        <f t="shared" si="66"/>
        <v>0</v>
      </c>
      <c r="P441" s="57">
        <f t="shared" si="67"/>
        <v>0</v>
      </c>
    </row>
    <row r="442" spans="2:16" hidden="1">
      <c r="B442" s="15" t="s">
        <v>19</v>
      </c>
      <c r="C442" s="50" t="s">
        <v>61</v>
      </c>
      <c r="D442" s="50" t="s">
        <v>47</v>
      </c>
      <c r="E442" s="50" t="s">
        <v>430</v>
      </c>
      <c r="F442" s="50" t="s">
        <v>20</v>
      </c>
      <c r="G442" s="204">
        <v>0</v>
      </c>
      <c r="H442" s="204"/>
      <c r="I442" s="207" t="e">
        <f t="shared" si="75"/>
        <v>#DIV/0!</v>
      </c>
      <c r="J442" s="42">
        <v>1</v>
      </c>
      <c r="K442" s="43">
        <f t="shared" si="62"/>
        <v>0</v>
      </c>
      <c r="L442" s="43">
        <f t="shared" si="63"/>
        <v>0</v>
      </c>
      <c r="M442" s="43" t="e">
        <f t="shared" si="64"/>
        <v>#DIV/0!</v>
      </c>
      <c r="N442" s="57">
        <f t="shared" si="65"/>
        <v>0</v>
      </c>
      <c r="O442" s="57">
        <f t="shared" si="66"/>
        <v>0</v>
      </c>
      <c r="P442" s="57">
        <f t="shared" si="67"/>
        <v>0</v>
      </c>
    </row>
    <row r="443" spans="2:16" hidden="1">
      <c r="B443" s="15" t="s">
        <v>433</v>
      </c>
      <c r="C443" s="50" t="s">
        <v>61</v>
      </c>
      <c r="D443" s="50" t="s">
        <v>47</v>
      </c>
      <c r="E443" s="50" t="s">
        <v>431</v>
      </c>
      <c r="F443" s="50"/>
      <c r="G443" s="204">
        <f>G444</f>
        <v>0</v>
      </c>
      <c r="H443" s="204"/>
      <c r="I443" s="207" t="e">
        <f t="shared" si="75"/>
        <v>#DIV/0!</v>
      </c>
      <c r="J443" s="42"/>
      <c r="K443" s="43">
        <f t="shared" si="62"/>
        <v>0</v>
      </c>
      <c r="L443" s="43">
        <f t="shared" si="63"/>
        <v>0</v>
      </c>
      <c r="M443" s="43">
        <f t="shared" si="64"/>
        <v>0</v>
      </c>
      <c r="N443" s="57">
        <f t="shared" si="65"/>
        <v>0</v>
      </c>
      <c r="O443" s="57">
        <f t="shared" si="66"/>
        <v>0</v>
      </c>
      <c r="P443" s="57">
        <f t="shared" si="67"/>
        <v>0</v>
      </c>
    </row>
    <row r="444" spans="2:16" hidden="1">
      <c r="B444" s="15" t="s">
        <v>19</v>
      </c>
      <c r="C444" s="50" t="s">
        <v>61</v>
      </c>
      <c r="D444" s="50" t="s">
        <v>47</v>
      </c>
      <c r="E444" s="50" t="s">
        <v>432</v>
      </c>
      <c r="F444" s="50" t="s">
        <v>20</v>
      </c>
      <c r="G444" s="204">
        <v>0</v>
      </c>
      <c r="H444" s="204"/>
      <c r="I444" s="207" t="e">
        <f t="shared" si="75"/>
        <v>#DIV/0!</v>
      </c>
      <c r="J444" s="42">
        <v>1</v>
      </c>
      <c r="K444" s="43">
        <f t="shared" si="62"/>
        <v>0</v>
      </c>
      <c r="L444" s="43">
        <f t="shared" si="63"/>
        <v>0</v>
      </c>
      <c r="M444" s="43" t="e">
        <f t="shared" si="64"/>
        <v>#DIV/0!</v>
      </c>
      <c r="N444" s="57">
        <f t="shared" si="65"/>
        <v>0</v>
      </c>
      <c r="O444" s="57">
        <f t="shared" si="66"/>
        <v>0</v>
      </c>
      <c r="P444" s="57">
        <f t="shared" si="67"/>
        <v>0</v>
      </c>
    </row>
    <row r="445" spans="2:16" ht="25.5" hidden="1">
      <c r="B445" s="15" t="s">
        <v>127</v>
      </c>
      <c r="C445" s="50" t="s">
        <v>61</v>
      </c>
      <c r="D445" s="50" t="s">
        <v>47</v>
      </c>
      <c r="E445" s="50" t="s">
        <v>497</v>
      </c>
      <c r="F445" s="50"/>
      <c r="G445" s="204">
        <f>G446</f>
        <v>0</v>
      </c>
      <c r="H445" s="204"/>
      <c r="I445" s="207" t="e">
        <f t="shared" si="75"/>
        <v>#DIV/0!</v>
      </c>
      <c r="J445" s="42"/>
      <c r="K445" s="43">
        <f t="shared" si="62"/>
        <v>0</v>
      </c>
      <c r="L445" s="43">
        <f t="shared" si="63"/>
        <v>0</v>
      </c>
      <c r="M445" s="43">
        <f t="shared" si="64"/>
        <v>0</v>
      </c>
      <c r="N445" s="57">
        <f t="shared" si="65"/>
        <v>0</v>
      </c>
      <c r="O445" s="57">
        <f t="shared" si="66"/>
        <v>0</v>
      </c>
      <c r="P445" s="57">
        <f t="shared" si="67"/>
        <v>0</v>
      </c>
    </row>
    <row r="446" spans="2:16" ht="25.5" hidden="1">
      <c r="B446" s="15" t="s">
        <v>30</v>
      </c>
      <c r="C446" s="50" t="s">
        <v>61</v>
      </c>
      <c r="D446" s="50" t="s">
        <v>47</v>
      </c>
      <c r="E446" s="50" t="s">
        <v>497</v>
      </c>
      <c r="F446" s="50" t="s">
        <v>20</v>
      </c>
      <c r="G446" s="204">
        <v>0</v>
      </c>
      <c r="H446" s="204"/>
      <c r="I446" s="207" t="e">
        <f t="shared" si="75"/>
        <v>#DIV/0!</v>
      </c>
      <c r="J446" s="42">
        <v>1</v>
      </c>
      <c r="K446" s="43">
        <f t="shared" si="62"/>
        <v>0</v>
      </c>
      <c r="L446" s="43">
        <f t="shared" si="63"/>
        <v>0</v>
      </c>
      <c r="M446" s="43" t="e">
        <f t="shared" si="64"/>
        <v>#DIV/0!</v>
      </c>
      <c r="N446" s="57">
        <f t="shared" si="65"/>
        <v>0</v>
      </c>
      <c r="O446" s="57">
        <f t="shared" si="66"/>
        <v>0</v>
      </c>
      <c r="P446" s="57">
        <f t="shared" si="67"/>
        <v>0</v>
      </c>
    </row>
    <row r="447" spans="2:16">
      <c r="B447" s="14" t="s">
        <v>98</v>
      </c>
      <c r="C447" s="11" t="s">
        <v>61</v>
      </c>
      <c r="D447" s="11" t="s">
        <v>63</v>
      </c>
      <c r="E447" s="11"/>
      <c r="F447" s="50"/>
      <c r="G447" s="203">
        <f>G449+G452+G456+G454</f>
        <v>2064</v>
      </c>
      <c r="H447" s="203">
        <v>1826.1</v>
      </c>
      <c r="I447" s="207">
        <f t="shared" si="75"/>
        <v>0.8847383720930232</v>
      </c>
      <c r="J447" s="42"/>
      <c r="K447" s="43">
        <f t="shared" si="62"/>
        <v>0</v>
      </c>
      <c r="L447" s="43">
        <f t="shared" si="63"/>
        <v>0</v>
      </c>
      <c r="M447" s="43">
        <f t="shared" si="64"/>
        <v>0</v>
      </c>
      <c r="N447" s="57">
        <f t="shared" si="65"/>
        <v>0</v>
      </c>
      <c r="O447" s="57">
        <f t="shared" si="66"/>
        <v>0</v>
      </c>
      <c r="P447" s="57">
        <f t="shared" si="67"/>
        <v>0</v>
      </c>
    </row>
    <row r="448" spans="2:16" ht="25.5">
      <c r="B448" s="15" t="s">
        <v>104</v>
      </c>
      <c r="C448" s="50" t="s">
        <v>61</v>
      </c>
      <c r="D448" s="50" t="s">
        <v>63</v>
      </c>
      <c r="E448" s="50" t="s">
        <v>137</v>
      </c>
      <c r="F448" s="50"/>
      <c r="G448" s="204">
        <f>G449</f>
        <v>1900.8</v>
      </c>
      <c r="H448" s="204">
        <v>1826</v>
      </c>
      <c r="I448" s="212">
        <f t="shared" si="75"/>
        <v>0.96064814814814814</v>
      </c>
      <c r="J448" s="42"/>
      <c r="K448" s="43">
        <f t="shared" si="62"/>
        <v>0</v>
      </c>
      <c r="L448" s="43">
        <f t="shared" si="63"/>
        <v>0</v>
      </c>
      <c r="M448" s="43">
        <f t="shared" si="64"/>
        <v>0</v>
      </c>
      <c r="N448" s="57">
        <f t="shared" si="65"/>
        <v>0</v>
      </c>
      <c r="O448" s="57">
        <f t="shared" si="66"/>
        <v>0</v>
      </c>
      <c r="P448" s="57">
        <f t="shared" si="67"/>
        <v>0</v>
      </c>
    </row>
    <row r="449" spans="2:16" ht="15.75" customHeight="1">
      <c r="B449" s="15" t="s">
        <v>95</v>
      </c>
      <c r="C449" s="50" t="s">
        <v>61</v>
      </c>
      <c r="D449" s="50" t="s">
        <v>63</v>
      </c>
      <c r="E449" s="50" t="s">
        <v>138</v>
      </c>
      <c r="F449" s="50"/>
      <c r="G449" s="204">
        <f>G450+G451</f>
        <v>1900.8</v>
      </c>
      <c r="H449" s="204">
        <v>1826</v>
      </c>
      <c r="I449" s="212">
        <f t="shared" si="75"/>
        <v>0.96064814814814814</v>
      </c>
      <c r="J449" s="42"/>
      <c r="K449" s="43">
        <f t="shared" si="62"/>
        <v>0</v>
      </c>
      <c r="L449" s="43">
        <f t="shared" si="63"/>
        <v>0</v>
      </c>
      <c r="M449" s="43">
        <f t="shared" si="64"/>
        <v>0</v>
      </c>
      <c r="N449" s="57">
        <f t="shared" si="65"/>
        <v>0</v>
      </c>
      <c r="O449" s="57">
        <f t="shared" si="66"/>
        <v>0</v>
      </c>
      <c r="P449" s="57">
        <f t="shared" si="67"/>
        <v>0</v>
      </c>
    </row>
    <row r="450" spans="2:16" ht="42" customHeight="1">
      <c r="B450" s="15" t="s">
        <v>17</v>
      </c>
      <c r="C450" s="50" t="s">
        <v>61</v>
      </c>
      <c r="D450" s="50" t="s">
        <v>63</v>
      </c>
      <c r="E450" s="50" t="s">
        <v>138</v>
      </c>
      <c r="F450" s="50" t="s">
        <v>79</v>
      </c>
      <c r="G450" s="204">
        <f>2055-140-50</f>
        <v>1865</v>
      </c>
      <c r="H450" s="204">
        <v>1816</v>
      </c>
      <c r="I450" s="212">
        <f t="shared" si="75"/>
        <v>0.97372654155495975</v>
      </c>
      <c r="J450" s="42">
        <v>1</v>
      </c>
      <c r="K450" s="43">
        <f t="shared" si="62"/>
        <v>1865</v>
      </c>
      <c r="L450" s="43">
        <f t="shared" si="63"/>
        <v>1816</v>
      </c>
      <c r="M450" s="43">
        <f t="shared" si="64"/>
        <v>0.97372654155495975</v>
      </c>
      <c r="N450" s="57">
        <f t="shared" si="65"/>
        <v>0</v>
      </c>
      <c r="O450" s="57">
        <f t="shared" si="66"/>
        <v>0</v>
      </c>
      <c r="P450" s="57">
        <f t="shared" si="67"/>
        <v>0</v>
      </c>
    </row>
    <row r="451" spans="2:16">
      <c r="B451" s="15" t="s">
        <v>19</v>
      </c>
      <c r="C451" s="50" t="s">
        <v>61</v>
      </c>
      <c r="D451" s="50" t="s">
        <v>63</v>
      </c>
      <c r="E451" s="50" t="s">
        <v>138</v>
      </c>
      <c r="F451" s="50" t="s">
        <v>20</v>
      </c>
      <c r="G451" s="204">
        <f>48-2.2-10</f>
        <v>35.799999999999997</v>
      </c>
      <c r="H451" s="204">
        <v>10</v>
      </c>
      <c r="I451" s="212">
        <f t="shared" si="75"/>
        <v>0.27932960893854752</v>
      </c>
      <c r="J451" s="42">
        <v>1</v>
      </c>
      <c r="K451" s="43">
        <f t="shared" si="62"/>
        <v>35.799999999999997</v>
      </c>
      <c r="L451" s="43">
        <f t="shared" si="63"/>
        <v>10</v>
      </c>
      <c r="M451" s="43">
        <f t="shared" si="64"/>
        <v>0.27932960893854752</v>
      </c>
      <c r="N451" s="57">
        <f t="shared" si="65"/>
        <v>0</v>
      </c>
      <c r="O451" s="57">
        <f t="shared" si="66"/>
        <v>0</v>
      </c>
      <c r="P451" s="57">
        <f t="shared" si="67"/>
        <v>0</v>
      </c>
    </row>
    <row r="452" spans="2:16">
      <c r="B452" s="15" t="s">
        <v>100</v>
      </c>
      <c r="C452" s="50" t="s">
        <v>61</v>
      </c>
      <c r="D452" s="50" t="s">
        <v>63</v>
      </c>
      <c r="E452" s="50" t="s">
        <v>151</v>
      </c>
      <c r="F452" s="50"/>
      <c r="G452" s="204">
        <f>G453</f>
        <v>13.2</v>
      </c>
      <c r="H452" s="204">
        <v>0.1</v>
      </c>
      <c r="I452" s="212">
        <f t="shared" si="75"/>
        <v>7.5757575757575768E-3</v>
      </c>
      <c r="J452" s="42"/>
      <c r="K452" s="43">
        <f t="shared" si="62"/>
        <v>0</v>
      </c>
      <c r="L452" s="43">
        <f t="shared" si="63"/>
        <v>0</v>
      </c>
      <c r="M452" s="43">
        <f t="shared" si="64"/>
        <v>0</v>
      </c>
      <c r="N452" s="57">
        <f t="shared" si="65"/>
        <v>0</v>
      </c>
      <c r="O452" s="57">
        <f t="shared" si="66"/>
        <v>0</v>
      </c>
      <c r="P452" s="57">
        <f t="shared" si="67"/>
        <v>0</v>
      </c>
    </row>
    <row r="453" spans="2:16">
      <c r="B453" s="15" t="s">
        <v>21</v>
      </c>
      <c r="C453" s="50" t="s">
        <v>61</v>
      </c>
      <c r="D453" s="50" t="s">
        <v>63</v>
      </c>
      <c r="E453" s="50" t="s">
        <v>151</v>
      </c>
      <c r="F453" s="50" t="s">
        <v>22</v>
      </c>
      <c r="G453" s="204">
        <f>1+2.2+10</f>
        <v>13.2</v>
      </c>
      <c r="H453" s="204">
        <v>0.1</v>
      </c>
      <c r="I453" s="212">
        <f t="shared" si="75"/>
        <v>7.5757575757575768E-3</v>
      </c>
      <c r="J453" s="42">
        <v>1</v>
      </c>
      <c r="K453" s="43">
        <f t="shared" si="62"/>
        <v>13.2</v>
      </c>
      <c r="L453" s="43">
        <f t="shared" si="63"/>
        <v>0.1</v>
      </c>
      <c r="M453" s="43">
        <f t="shared" si="64"/>
        <v>7.5757575757575768E-3</v>
      </c>
      <c r="N453" s="57">
        <f t="shared" si="65"/>
        <v>0</v>
      </c>
      <c r="O453" s="57">
        <f t="shared" si="66"/>
        <v>0</v>
      </c>
      <c r="P453" s="57">
        <f t="shared" si="67"/>
        <v>0</v>
      </c>
    </row>
    <row r="454" spans="2:16" ht="25.5" hidden="1">
      <c r="B454" s="15" t="s">
        <v>597</v>
      </c>
      <c r="C454" s="50" t="s">
        <v>61</v>
      </c>
      <c r="D454" s="50" t="s">
        <v>63</v>
      </c>
      <c r="E454" s="50" t="s">
        <v>144</v>
      </c>
      <c r="F454" s="50"/>
      <c r="G454" s="204">
        <f>G455</f>
        <v>0</v>
      </c>
      <c r="H454" s="204"/>
      <c r="I454" s="207" t="e">
        <f t="shared" si="75"/>
        <v>#DIV/0!</v>
      </c>
      <c r="J454" s="42"/>
      <c r="K454" s="43">
        <f t="shared" si="62"/>
        <v>0</v>
      </c>
      <c r="L454" s="43">
        <f t="shared" si="63"/>
        <v>0</v>
      </c>
      <c r="M454" s="43">
        <f t="shared" si="64"/>
        <v>0</v>
      </c>
      <c r="N454" s="57">
        <f t="shared" si="65"/>
        <v>0</v>
      </c>
      <c r="O454" s="57">
        <f t="shared" si="66"/>
        <v>0</v>
      </c>
      <c r="P454" s="57">
        <f t="shared" si="67"/>
        <v>0</v>
      </c>
    </row>
    <row r="455" spans="2:16" hidden="1">
      <c r="B455" s="15" t="s">
        <v>19</v>
      </c>
      <c r="C455" s="50" t="s">
        <v>61</v>
      </c>
      <c r="D455" s="50" t="s">
        <v>63</v>
      </c>
      <c r="E455" s="50" t="s">
        <v>144</v>
      </c>
      <c r="F455" s="50" t="s">
        <v>20</v>
      </c>
      <c r="G455" s="204">
        <v>0</v>
      </c>
      <c r="H455" s="204"/>
      <c r="I455" s="207" t="e">
        <f t="shared" si="75"/>
        <v>#DIV/0!</v>
      </c>
      <c r="J455" s="42">
        <v>1</v>
      </c>
      <c r="K455" s="43">
        <f t="shared" si="62"/>
        <v>0</v>
      </c>
      <c r="L455" s="43">
        <f t="shared" si="63"/>
        <v>0</v>
      </c>
      <c r="M455" s="43" t="e">
        <f t="shared" si="64"/>
        <v>#DIV/0!</v>
      </c>
      <c r="N455" s="57">
        <f t="shared" si="65"/>
        <v>0</v>
      </c>
      <c r="O455" s="57">
        <f t="shared" si="66"/>
        <v>0</v>
      </c>
      <c r="P455" s="57">
        <f t="shared" si="67"/>
        <v>0</v>
      </c>
    </row>
    <row r="456" spans="2:16" ht="25.5">
      <c r="B456" s="104" t="s">
        <v>768</v>
      </c>
      <c r="C456" s="11" t="s">
        <v>61</v>
      </c>
      <c r="D456" s="11" t="s">
        <v>63</v>
      </c>
      <c r="E456" s="11" t="s">
        <v>404</v>
      </c>
      <c r="F456" s="11"/>
      <c r="G456" s="203">
        <f>G457</f>
        <v>150</v>
      </c>
      <c r="H456" s="203">
        <v>0</v>
      </c>
      <c r="I456" s="207">
        <f t="shared" si="75"/>
        <v>0</v>
      </c>
      <c r="J456" s="42"/>
      <c r="K456" s="43">
        <f t="shared" si="62"/>
        <v>0</v>
      </c>
      <c r="L456" s="43">
        <f t="shared" si="63"/>
        <v>0</v>
      </c>
      <c r="M456" s="43">
        <f t="shared" si="64"/>
        <v>0</v>
      </c>
      <c r="N456" s="57">
        <f t="shared" si="65"/>
        <v>0</v>
      </c>
      <c r="O456" s="57">
        <f t="shared" si="66"/>
        <v>0</v>
      </c>
      <c r="P456" s="57">
        <f t="shared" si="67"/>
        <v>0</v>
      </c>
    </row>
    <row r="457" spans="2:16" ht="25.5">
      <c r="B457" s="65" t="s">
        <v>351</v>
      </c>
      <c r="C457" s="50" t="s">
        <v>61</v>
      </c>
      <c r="D457" s="50" t="s">
        <v>63</v>
      </c>
      <c r="E457" s="50" t="s">
        <v>445</v>
      </c>
      <c r="F457" s="50"/>
      <c r="G457" s="204">
        <f>G458</f>
        <v>150</v>
      </c>
      <c r="H457" s="204">
        <v>0</v>
      </c>
      <c r="I457" s="212">
        <f t="shared" si="75"/>
        <v>0</v>
      </c>
      <c r="J457" s="42"/>
      <c r="K457" s="43">
        <f t="shared" si="62"/>
        <v>0</v>
      </c>
      <c r="L457" s="43">
        <f t="shared" si="63"/>
        <v>0</v>
      </c>
      <c r="M457" s="43">
        <f t="shared" si="64"/>
        <v>0</v>
      </c>
      <c r="N457" s="57">
        <f t="shared" si="65"/>
        <v>0</v>
      </c>
      <c r="O457" s="57">
        <f t="shared" si="66"/>
        <v>0</v>
      </c>
      <c r="P457" s="57">
        <f t="shared" si="67"/>
        <v>0</v>
      </c>
    </row>
    <row r="458" spans="2:16">
      <c r="B458" s="15" t="s">
        <v>19</v>
      </c>
      <c r="C458" s="50" t="s">
        <v>61</v>
      </c>
      <c r="D458" s="50" t="s">
        <v>63</v>
      </c>
      <c r="E458" s="50" t="s">
        <v>352</v>
      </c>
      <c r="F458" s="50" t="s">
        <v>20</v>
      </c>
      <c r="G458" s="204">
        <v>150</v>
      </c>
      <c r="H458" s="204">
        <v>0</v>
      </c>
      <c r="I458" s="212">
        <f t="shared" si="75"/>
        <v>0</v>
      </c>
      <c r="J458" s="42">
        <v>1</v>
      </c>
      <c r="K458" s="43">
        <f t="shared" si="62"/>
        <v>150</v>
      </c>
      <c r="L458" s="43">
        <f t="shared" si="63"/>
        <v>0</v>
      </c>
      <c r="M458" s="43">
        <f t="shared" si="64"/>
        <v>0</v>
      </c>
      <c r="N458" s="57">
        <f t="shared" si="65"/>
        <v>0</v>
      </c>
      <c r="O458" s="57">
        <f t="shared" si="66"/>
        <v>0</v>
      </c>
      <c r="P458" s="57">
        <f t="shared" si="67"/>
        <v>0</v>
      </c>
    </row>
    <row r="459" spans="2:16">
      <c r="B459" s="14" t="s">
        <v>89</v>
      </c>
      <c r="C459" s="11" t="s">
        <v>61</v>
      </c>
      <c r="D459" s="11" t="s">
        <v>33</v>
      </c>
      <c r="E459" s="11"/>
      <c r="F459" s="11"/>
      <c r="G459" s="203">
        <f>G460+G465</f>
        <v>1726.1999999999998</v>
      </c>
      <c r="H459" s="203">
        <v>1457.5</v>
      </c>
      <c r="I459" s="207">
        <f t="shared" si="75"/>
        <v>0.8443401691576875</v>
      </c>
      <c r="J459" s="42"/>
      <c r="K459" s="43">
        <f t="shared" ref="K459:K491" si="76">SUMIF(J459,1,G459)</f>
        <v>0</v>
      </c>
      <c r="L459" s="43">
        <f t="shared" ref="L459:L491" si="77">SUMIF(J459,1,H459)</f>
        <v>0</v>
      </c>
      <c r="M459" s="43">
        <f t="shared" ref="M459:M491" si="78">SUMIF(J459,1,I459)</f>
        <v>0</v>
      </c>
      <c r="N459" s="57">
        <f t="shared" ref="N459:N491" si="79">SUMIF(J459,2,G459)</f>
        <v>0</v>
      </c>
      <c r="O459" s="57">
        <f t="shared" ref="O459:O491" si="80">SUMIF(J459,2,H459)</f>
        <v>0</v>
      </c>
      <c r="P459" s="57">
        <f t="shared" ref="P459:P491" si="81">SUMIF(J459,2,I459)</f>
        <v>0</v>
      </c>
    </row>
    <row r="460" spans="2:16">
      <c r="B460" s="14" t="s">
        <v>34</v>
      </c>
      <c r="C460" s="11" t="s">
        <v>61</v>
      </c>
      <c r="D460" s="11" t="s">
        <v>35</v>
      </c>
      <c r="E460" s="11"/>
      <c r="F460" s="11"/>
      <c r="G460" s="203">
        <f>G461</f>
        <v>839.19999999999993</v>
      </c>
      <c r="H460" s="203">
        <v>575.5</v>
      </c>
      <c r="I460" s="207">
        <f t="shared" si="75"/>
        <v>0.68577216396568164</v>
      </c>
      <c r="J460" s="42"/>
      <c r="K460" s="43">
        <f t="shared" si="76"/>
        <v>0</v>
      </c>
      <c r="L460" s="43">
        <f t="shared" si="77"/>
        <v>0</v>
      </c>
      <c r="M460" s="43">
        <f t="shared" si="78"/>
        <v>0</v>
      </c>
      <c r="N460" s="57">
        <f t="shared" si="79"/>
        <v>0</v>
      </c>
      <c r="O460" s="57">
        <f t="shared" si="80"/>
        <v>0</v>
      </c>
      <c r="P460" s="57">
        <f t="shared" si="81"/>
        <v>0</v>
      </c>
    </row>
    <row r="461" spans="2:16">
      <c r="B461" s="15" t="s">
        <v>73</v>
      </c>
      <c r="C461" s="50" t="s">
        <v>61</v>
      </c>
      <c r="D461" s="50" t="s">
        <v>35</v>
      </c>
      <c r="E461" s="50" t="s">
        <v>139</v>
      </c>
      <c r="F461" s="50"/>
      <c r="G461" s="204">
        <f>G462</f>
        <v>839.19999999999993</v>
      </c>
      <c r="H461" s="204">
        <v>575.5</v>
      </c>
      <c r="I461" s="212">
        <f t="shared" si="75"/>
        <v>0.68577216396568164</v>
      </c>
      <c r="J461" s="42"/>
      <c r="K461" s="43">
        <f t="shared" si="76"/>
        <v>0</v>
      </c>
      <c r="L461" s="43">
        <f t="shared" si="77"/>
        <v>0</v>
      </c>
      <c r="M461" s="43">
        <f t="shared" si="78"/>
        <v>0</v>
      </c>
      <c r="N461" s="57">
        <f t="shared" si="79"/>
        <v>0</v>
      </c>
      <c r="O461" s="57">
        <f t="shared" si="80"/>
        <v>0</v>
      </c>
      <c r="P461" s="57">
        <f t="shared" si="81"/>
        <v>0</v>
      </c>
    </row>
    <row r="462" spans="2:16" ht="51">
      <c r="B462" s="15" t="s">
        <v>106</v>
      </c>
      <c r="C462" s="50" t="s">
        <v>61</v>
      </c>
      <c r="D462" s="50" t="s">
        <v>35</v>
      </c>
      <c r="E462" s="50" t="s">
        <v>172</v>
      </c>
      <c r="F462" s="50"/>
      <c r="G462" s="204">
        <f>G463+G464</f>
        <v>839.19999999999993</v>
      </c>
      <c r="H462" s="204">
        <v>575.5</v>
      </c>
      <c r="I462" s="212">
        <f t="shared" si="75"/>
        <v>0.68577216396568164</v>
      </c>
      <c r="J462" s="42"/>
      <c r="K462" s="43">
        <f t="shared" si="76"/>
        <v>0</v>
      </c>
      <c r="L462" s="43">
        <f t="shared" si="77"/>
        <v>0</v>
      </c>
      <c r="M462" s="43">
        <f t="shared" si="78"/>
        <v>0</v>
      </c>
      <c r="N462" s="57">
        <f t="shared" si="79"/>
        <v>0</v>
      </c>
      <c r="O462" s="57">
        <f t="shared" si="80"/>
        <v>0</v>
      </c>
      <c r="P462" s="57">
        <f t="shared" si="81"/>
        <v>0</v>
      </c>
    </row>
    <row r="463" spans="2:16">
      <c r="B463" s="15" t="s">
        <v>64</v>
      </c>
      <c r="C463" s="50" t="s">
        <v>61</v>
      </c>
      <c r="D463" s="50" t="s">
        <v>35</v>
      </c>
      <c r="E463" s="50" t="s">
        <v>172</v>
      </c>
      <c r="F463" s="50" t="s">
        <v>26</v>
      </c>
      <c r="G463" s="204">
        <f>961.8-122.6</f>
        <v>839.19999999999993</v>
      </c>
      <c r="H463" s="204">
        <v>575.5</v>
      </c>
      <c r="I463" s="212">
        <f t="shared" si="75"/>
        <v>0.68577216396568164</v>
      </c>
      <c r="J463" s="42">
        <v>2</v>
      </c>
      <c r="K463" s="43">
        <f t="shared" si="76"/>
        <v>0</v>
      </c>
      <c r="L463" s="43">
        <f t="shared" si="77"/>
        <v>0</v>
      </c>
      <c r="M463" s="43">
        <f t="shared" si="78"/>
        <v>0</v>
      </c>
      <c r="N463" s="57">
        <f t="shared" si="79"/>
        <v>839.19999999999993</v>
      </c>
      <c r="O463" s="57">
        <f t="shared" si="80"/>
        <v>575.5</v>
      </c>
      <c r="P463" s="57">
        <f t="shared" si="81"/>
        <v>0.68577216396568164</v>
      </c>
    </row>
    <row r="464" spans="2:16" ht="25.5" hidden="1">
      <c r="B464" s="15" t="s">
        <v>30</v>
      </c>
      <c r="C464" s="50" t="s">
        <v>61</v>
      </c>
      <c r="D464" s="50" t="s">
        <v>35</v>
      </c>
      <c r="E464" s="50" t="s">
        <v>172</v>
      </c>
      <c r="F464" s="50" t="s">
        <v>31</v>
      </c>
      <c r="G464" s="204">
        <f>378.1-378.1</f>
        <v>0</v>
      </c>
      <c r="H464" s="204">
        <v>0</v>
      </c>
      <c r="I464" s="207" t="e">
        <f t="shared" si="75"/>
        <v>#DIV/0!</v>
      </c>
      <c r="J464" s="42">
        <v>2</v>
      </c>
      <c r="K464" s="43">
        <f t="shared" si="76"/>
        <v>0</v>
      </c>
      <c r="L464" s="43">
        <f t="shared" si="77"/>
        <v>0</v>
      </c>
      <c r="M464" s="43">
        <f t="shared" si="78"/>
        <v>0</v>
      </c>
      <c r="N464" s="57">
        <f t="shared" si="79"/>
        <v>0</v>
      </c>
      <c r="O464" s="57">
        <f t="shared" si="80"/>
        <v>0</v>
      </c>
      <c r="P464" s="57" t="e">
        <f t="shared" si="81"/>
        <v>#DIV/0!</v>
      </c>
    </row>
    <row r="465" spans="2:16">
      <c r="B465" s="14" t="s">
        <v>48</v>
      </c>
      <c r="C465" s="11" t="s">
        <v>61</v>
      </c>
      <c r="D465" s="11" t="s">
        <v>49</v>
      </c>
      <c r="E465" s="50"/>
      <c r="F465" s="50"/>
      <c r="G465" s="203">
        <f>G466</f>
        <v>887</v>
      </c>
      <c r="H465" s="203">
        <v>887</v>
      </c>
      <c r="I465" s="207">
        <f t="shared" si="75"/>
        <v>1</v>
      </c>
      <c r="J465" s="42"/>
      <c r="K465" s="43">
        <f t="shared" si="76"/>
        <v>0</v>
      </c>
      <c r="L465" s="43">
        <f t="shared" si="77"/>
        <v>0</v>
      </c>
      <c r="M465" s="43">
        <f t="shared" si="78"/>
        <v>0</v>
      </c>
      <c r="N465" s="57">
        <f t="shared" si="79"/>
        <v>0</v>
      </c>
      <c r="O465" s="57">
        <f t="shared" si="80"/>
        <v>0</v>
      </c>
      <c r="P465" s="57">
        <f t="shared" si="81"/>
        <v>0</v>
      </c>
    </row>
    <row r="466" spans="2:16" s="6" customFormat="1" ht="25.5">
      <c r="B466" s="139" t="s">
        <v>494</v>
      </c>
      <c r="C466" s="11" t="s">
        <v>61</v>
      </c>
      <c r="D466" s="11" t="s">
        <v>49</v>
      </c>
      <c r="E466" s="11" t="s">
        <v>164</v>
      </c>
      <c r="F466" s="11"/>
      <c r="G466" s="203">
        <f>G467</f>
        <v>887</v>
      </c>
      <c r="H466" s="203">
        <v>882</v>
      </c>
      <c r="I466" s="207">
        <f t="shared" si="75"/>
        <v>0.99436302142051858</v>
      </c>
      <c r="J466" s="13"/>
      <c r="K466" s="46">
        <f t="shared" si="76"/>
        <v>0</v>
      </c>
      <c r="L466" s="46">
        <f t="shared" si="77"/>
        <v>0</v>
      </c>
      <c r="M466" s="46">
        <f t="shared" si="78"/>
        <v>0</v>
      </c>
      <c r="N466" s="58">
        <f t="shared" si="79"/>
        <v>0</v>
      </c>
      <c r="O466" s="58">
        <f t="shared" si="80"/>
        <v>0</v>
      </c>
      <c r="P466" s="58">
        <f t="shared" si="81"/>
        <v>0</v>
      </c>
    </row>
    <row r="467" spans="2:16" ht="25.5">
      <c r="B467" s="15" t="s">
        <v>391</v>
      </c>
      <c r="C467" s="50" t="s">
        <v>61</v>
      </c>
      <c r="D467" s="50" t="s">
        <v>49</v>
      </c>
      <c r="E467" s="50" t="s">
        <v>255</v>
      </c>
      <c r="F467" s="50"/>
      <c r="G467" s="204">
        <f>G468</f>
        <v>887</v>
      </c>
      <c r="H467" s="204">
        <v>882</v>
      </c>
      <c r="I467" s="212">
        <f t="shared" si="75"/>
        <v>0.99436302142051858</v>
      </c>
      <c r="J467" s="42"/>
      <c r="K467" s="43">
        <f t="shared" si="76"/>
        <v>0</v>
      </c>
      <c r="L467" s="43">
        <f t="shared" si="77"/>
        <v>0</v>
      </c>
      <c r="M467" s="43">
        <f t="shared" si="78"/>
        <v>0</v>
      </c>
      <c r="N467" s="57">
        <f t="shared" si="79"/>
        <v>0</v>
      </c>
      <c r="O467" s="57">
        <f t="shared" si="80"/>
        <v>0</v>
      </c>
      <c r="P467" s="57">
        <f t="shared" si="81"/>
        <v>0</v>
      </c>
    </row>
    <row r="468" spans="2:16" ht="14.25" customHeight="1">
      <c r="B468" s="15" t="s">
        <v>401</v>
      </c>
      <c r="C468" s="50" t="s">
        <v>61</v>
      </c>
      <c r="D468" s="50" t="s">
        <v>49</v>
      </c>
      <c r="E468" s="50" t="s">
        <v>395</v>
      </c>
      <c r="F468" s="50"/>
      <c r="G468" s="204">
        <f>G469+G470</f>
        <v>887</v>
      </c>
      <c r="H468" s="204">
        <v>882</v>
      </c>
      <c r="I468" s="212">
        <f t="shared" si="75"/>
        <v>0.99436302142051858</v>
      </c>
      <c r="J468" s="42"/>
      <c r="K468" s="43">
        <f t="shared" si="76"/>
        <v>0</v>
      </c>
      <c r="L468" s="43">
        <f t="shared" si="77"/>
        <v>0</v>
      </c>
      <c r="M468" s="43">
        <f t="shared" si="78"/>
        <v>0</v>
      </c>
      <c r="N468" s="57">
        <f t="shared" si="79"/>
        <v>0</v>
      </c>
      <c r="O468" s="57">
        <f t="shared" si="80"/>
        <v>0</v>
      </c>
      <c r="P468" s="57">
        <f t="shared" si="81"/>
        <v>0</v>
      </c>
    </row>
    <row r="469" spans="2:16">
      <c r="B469" s="15" t="s">
        <v>403</v>
      </c>
      <c r="C469" s="50" t="s">
        <v>61</v>
      </c>
      <c r="D469" s="50" t="s">
        <v>49</v>
      </c>
      <c r="E469" s="50" t="s">
        <v>395</v>
      </c>
      <c r="F469" s="50" t="s">
        <v>26</v>
      </c>
      <c r="G469" s="204">
        <v>350</v>
      </c>
      <c r="H469" s="204">
        <v>345</v>
      </c>
      <c r="I469" s="212">
        <f t="shared" si="75"/>
        <v>0.98571428571428577</v>
      </c>
      <c r="J469" s="42">
        <v>1</v>
      </c>
      <c r="K469" s="43">
        <f t="shared" si="76"/>
        <v>350</v>
      </c>
      <c r="L469" s="43">
        <f t="shared" si="77"/>
        <v>345</v>
      </c>
      <c r="M469" s="43">
        <f t="shared" si="78"/>
        <v>0.98571428571428577</v>
      </c>
      <c r="N469" s="57">
        <f t="shared" si="79"/>
        <v>0</v>
      </c>
      <c r="O469" s="57">
        <f t="shared" si="80"/>
        <v>0</v>
      </c>
      <c r="P469" s="57">
        <f t="shared" si="81"/>
        <v>0</v>
      </c>
    </row>
    <row r="470" spans="2:16">
      <c r="B470" s="15" t="s">
        <v>593</v>
      </c>
      <c r="C470" s="50" t="s">
        <v>61</v>
      </c>
      <c r="D470" s="50" t="s">
        <v>49</v>
      </c>
      <c r="E470" s="50" t="s">
        <v>395</v>
      </c>
      <c r="F470" s="50" t="s">
        <v>26</v>
      </c>
      <c r="G470" s="204">
        <v>537</v>
      </c>
      <c r="H470" s="204">
        <v>537</v>
      </c>
      <c r="I470" s="212">
        <f t="shared" si="75"/>
        <v>1</v>
      </c>
      <c r="J470" s="42">
        <v>2</v>
      </c>
      <c r="K470" s="43">
        <f t="shared" si="76"/>
        <v>0</v>
      </c>
      <c r="L470" s="43">
        <f t="shared" si="77"/>
        <v>0</v>
      </c>
      <c r="M470" s="43">
        <f t="shared" si="78"/>
        <v>0</v>
      </c>
      <c r="N470" s="57">
        <f t="shared" si="79"/>
        <v>537</v>
      </c>
      <c r="O470" s="57">
        <f t="shared" si="80"/>
        <v>537</v>
      </c>
      <c r="P470" s="57">
        <f t="shared" si="81"/>
        <v>1</v>
      </c>
    </row>
    <row r="471" spans="2:16">
      <c r="B471" s="14" t="s">
        <v>84</v>
      </c>
      <c r="C471" s="11" t="s">
        <v>61</v>
      </c>
      <c r="D471" s="11" t="s">
        <v>85</v>
      </c>
      <c r="E471" s="50"/>
      <c r="F471" s="50"/>
      <c r="G471" s="203">
        <f>G472</f>
        <v>3193.7</v>
      </c>
      <c r="H471" s="203">
        <v>2689.4</v>
      </c>
      <c r="I471" s="207">
        <f t="shared" si="75"/>
        <v>0.84209537527006306</v>
      </c>
      <c r="J471" s="42"/>
      <c r="K471" s="43">
        <f t="shared" si="76"/>
        <v>0</v>
      </c>
      <c r="L471" s="43">
        <f t="shared" si="77"/>
        <v>0</v>
      </c>
      <c r="M471" s="43">
        <f t="shared" si="78"/>
        <v>0</v>
      </c>
      <c r="N471" s="57">
        <f t="shared" si="79"/>
        <v>0</v>
      </c>
      <c r="O471" s="57">
        <f t="shared" si="80"/>
        <v>0</v>
      </c>
      <c r="P471" s="57">
        <f t="shared" si="81"/>
        <v>0</v>
      </c>
    </row>
    <row r="472" spans="2:16">
      <c r="B472" s="14" t="s">
        <v>323</v>
      </c>
      <c r="C472" s="11" t="s">
        <v>61</v>
      </c>
      <c r="D472" s="11" t="s">
        <v>324</v>
      </c>
      <c r="E472" s="50"/>
      <c r="F472" s="50"/>
      <c r="G472" s="203">
        <f>G473</f>
        <v>3193.7</v>
      </c>
      <c r="H472" s="203">
        <v>2689.4</v>
      </c>
      <c r="I472" s="207">
        <f t="shared" si="75"/>
        <v>0.84209537527006306</v>
      </c>
      <c r="J472" s="42"/>
      <c r="K472" s="43">
        <f t="shared" si="76"/>
        <v>0</v>
      </c>
      <c r="L472" s="43">
        <f t="shared" si="77"/>
        <v>0</v>
      </c>
      <c r="M472" s="43">
        <f t="shared" si="78"/>
        <v>0</v>
      </c>
      <c r="N472" s="57">
        <f t="shared" si="79"/>
        <v>0</v>
      </c>
      <c r="O472" s="57">
        <f t="shared" si="80"/>
        <v>0</v>
      </c>
      <c r="P472" s="57">
        <f t="shared" si="81"/>
        <v>0</v>
      </c>
    </row>
    <row r="473" spans="2:16" s="6" customFormat="1" ht="25.5">
      <c r="B473" s="104" t="s">
        <v>769</v>
      </c>
      <c r="C473" s="11" t="s">
        <v>61</v>
      </c>
      <c r="D473" s="11" t="s">
        <v>324</v>
      </c>
      <c r="E473" s="11" t="s">
        <v>166</v>
      </c>
      <c r="F473" s="11"/>
      <c r="G473" s="203">
        <f>G474+G477+G479+G481+G483+G488</f>
        <v>3193.7</v>
      </c>
      <c r="H473" s="203">
        <v>2689.4</v>
      </c>
      <c r="I473" s="207">
        <f t="shared" si="75"/>
        <v>0.84209537527006306</v>
      </c>
      <c r="J473" s="13"/>
      <c r="K473" s="46">
        <f t="shared" si="76"/>
        <v>0</v>
      </c>
      <c r="L473" s="46">
        <f t="shared" si="77"/>
        <v>0</v>
      </c>
      <c r="M473" s="46">
        <f t="shared" si="78"/>
        <v>0</v>
      </c>
      <c r="N473" s="58">
        <f t="shared" si="79"/>
        <v>0</v>
      </c>
      <c r="O473" s="58">
        <f t="shared" si="80"/>
        <v>0</v>
      </c>
      <c r="P473" s="58">
        <f t="shared" si="81"/>
        <v>0</v>
      </c>
    </row>
    <row r="474" spans="2:16" ht="25.5">
      <c r="B474" s="15" t="s">
        <v>320</v>
      </c>
      <c r="C474" s="50" t="s">
        <v>61</v>
      </c>
      <c r="D474" s="50" t="s">
        <v>324</v>
      </c>
      <c r="E474" s="50" t="s">
        <v>301</v>
      </c>
      <c r="F474" s="50"/>
      <c r="G474" s="117">
        <f>G475+G476</f>
        <v>539.20000000000005</v>
      </c>
      <c r="H474" s="117">
        <v>199.9</v>
      </c>
      <c r="I474" s="212">
        <f t="shared" si="75"/>
        <v>0.37073442136498513</v>
      </c>
      <c r="J474" s="42"/>
      <c r="K474" s="43">
        <f t="shared" si="76"/>
        <v>0</v>
      </c>
      <c r="L474" s="43">
        <f t="shared" si="77"/>
        <v>0</v>
      </c>
      <c r="M474" s="43">
        <f t="shared" si="78"/>
        <v>0</v>
      </c>
      <c r="N474" s="57">
        <f t="shared" si="79"/>
        <v>0</v>
      </c>
      <c r="O474" s="57">
        <f t="shared" si="80"/>
        <v>0</v>
      </c>
      <c r="P474" s="57">
        <f t="shared" si="81"/>
        <v>0</v>
      </c>
    </row>
    <row r="475" spans="2:16" ht="38.25">
      <c r="B475" s="15" t="s">
        <v>17</v>
      </c>
      <c r="C475" s="50" t="s">
        <v>61</v>
      </c>
      <c r="D475" s="50" t="s">
        <v>324</v>
      </c>
      <c r="E475" s="50" t="s">
        <v>305</v>
      </c>
      <c r="F475" s="50" t="s">
        <v>18</v>
      </c>
      <c r="G475" s="117">
        <v>292.2</v>
      </c>
      <c r="H475" s="117">
        <v>179.4</v>
      </c>
      <c r="I475" s="212">
        <f t="shared" ref="I475:I538" si="82">H475/G475</f>
        <v>0.61396303901437377</v>
      </c>
      <c r="J475" s="42">
        <v>1</v>
      </c>
      <c r="K475" s="43">
        <f t="shared" si="76"/>
        <v>292.2</v>
      </c>
      <c r="L475" s="43">
        <f t="shared" si="77"/>
        <v>179.4</v>
      </c>
      <c r="M475" s="43">
        <f t="shared" si="78"/>
        <v>0.61396303901437377</v>
      </c>
      <c r="N475" s="57">
        <f t="shared" si="79"/>
        <v>0</v>
      </c>
      <c r="O475" s="57">
        <f t="shared" si="80"/>
        <v>0</v>
      </c>
      <c r="P475" s="57">
        <f t="shared" si="81"/>
        <v>0</v>
      </c>
    </row>
    <row r="476" spans="2:16">
      <c r="B476" s="15" t="s">
        <v>19</v>
      </c>
      <c r="C476" s="50" t="s">
        <v>61</v>
      </c>
      <c r="D476" s="50" t="s">
        <v>324</v>
      </c>
      <c r="E476" s="50" t="s">
        <v>305</v>
      </c>
      <c r="F476" s="50" t="s">
        <v>20</v>
      </c>
      <c r="G476" s="117">
        <v>247</v>
      </c>
      <c r="H476" s="117">
        <v>20.5</v>
      </c>
      <c r="I476" s="212">
        <f t="shared" si="82"/>
        <v>8.2995951417004055E-2</v>
      </c>
      <c r="J476" s="42">
        <v>1</v>
      </c>
      <c r="K476" s="43">
        <f t="shared" si="76"/>
        <v>247</v>
      </c>
      <c r="L476" s="43">
        <f t="shared" si="77"/>
        <v>20.5</v>
      </c>
      <c r="M476" s="43">
        <f t="shared" si="78"/>
        <v>8.2995951417004055E-2</v>
      </c>
      <c r="N476" s="57">
        <f t="shared" si="79"/>
        <v>0</v>
      </c>
      <c r="O476" s="57">
        <f t="shared" si="80"/>
        <v>0</v>
      </c>
      <c r="P476" s="57">
        <f t="shared" si="81"/>
        <v>0</v>
      </c>
    </row>
    <row r="477" spans="2:16" ht="25.5">
      <c r="B477" s="15" t="s">
        <v>308</v>
      </c>
      <c r="C477" s="50" t="s">
        <v>61</v>
      </c>
      <c r="D477" s="50" t="s">
        <v>324</v>
      </c>
      <c r="E477" s="50" t="s">
        <v>303</v>
      </c>
      <c r="F477" s="50"/>
      <c r="G477" s="117">
        <f>G478</f>
        <v>30</v>
      </c>
      <c r="H477" s="117">
        <v>0</v>
      </c>
      <c r="I477" s="212">
        <f t="shared" si="82"/>
        <v>0</v>
      </c>
      <c r="J477" s="42"/>
      <c r="K477" s="43">
        <f t="shared" si="76"/>
        <v>0</v>
      </c>
      <c r="L477" s="43">
        <f t="shared" si="77"/>
        <v>0</v>
      </c>
      <c r="M477" s="43">
        <f t="shared" si="78"/>
        <v>0</v>
      </c>
      <c r="N477" s="57">
        <f t="shared" si="79"/>
        <v>0</v>
      </c>
      <c r="O477" s="57">
        <f t="shared" si="80"/>
        <v>0</v>
      </c>
      <c r="P477" s="57">
        <f t="shared" si="81"/>
        <v>0</v>
      </c>
    </row>
    <row r="478" spans="2:16">
      <c r="B478" s="15" t="s">
        <v>19</v>
      </c>
      <c r="C478" s="50" t="s">
        <v>61</v>
      </c>
      <c r="D478" s="50" t="s">
        <v>324</v>
      </c>
      <c r="E478" s="50" t="s">
        <v>306</v>
      </c>
      <c r="F478" s="50" t="s">
        <v>20</v>
      </c>
      <c r="G478" s="117">
        <v>30</v>
      </c>
      <c r="H478" s="117">
        <v>0</v>
      </c>
      <c r="I478" s="212">
        <f t="shared" si="82"/>
        <v>0</v>
      </c>
      <c r="J478" s="42">
        <v>1</v>
      </c>
      <c r="K478" s="43">
        <f t="shared" si="76"/>
        <v>30</v>
      </c>
      <c r="L478" s="43">
        <f t="shared" si="77"/>
        <v>0</v>
      </c>
      <c r="M478" s="43">
        <f t="shared" si="78"/>
        <v>0</v>
      </c>
      <c r="N478" s="57">
        <f t="shared" si="79"/>
        <v>0</v>
      </c>
      <c r="O478" s="57">
        <f t="shared" si="80"/>
        <v>0</v>
      </c>
      <c r="P478" s="57">
        <f t="shared" si="81"/>
        <v>0</v>
      </c>
    </row>
    <row r="479" spans="2:16">
      <c r="B479" s="15" t="s">
        <v>302</v>
      </c>
      <c r="C479" s="50" t="s">
        <v>61</v>
      </c>
      <c r="D479" s="50" t="s">
        <v>324</v>
      </c>
      <c r="E479" s="50" t="s">
        <v>304</v>
      </c>
      <c r="F479" s="50"/>
      <c r="G479" s="204">
        <f>G480</f>
        <v>30</v>
      </c>
      <c r="H479" s="204">
        <v>5.5</v>
      </c>
      <c r="I479" s="212">
        <f t="shared" si="82"/>
        <v>0.18333333333333332</v>
      </c>
      <c r="J479" s="42"/>
      <c r="K479" s="43">
        <f t="shared" si="76"/>
        <v>0</v>
      </c>
      <c r="L479" s="43">
        <f t="shared" si="77"/>
        <v>0</v>
      </c>
      <c r="M479" s="43">
        <f t="shared" si="78"/>
        <v>0</v>
      </c>
      <c r="N479" s="57">
        <f t="shared" si="79"/>
        <v>0</v>
      </c>
      <c r="O479" s="57">
        <f t="shared" si="80"/>
        <v>0</v>
      </c>
      <c r="P479" s="57">
        <f t="shared" si="81"/>
        <v>0</v>
      </c>
    </row>
    <row r="480" spans="2:16">
      <c r="B480" s="15" t="s">
        <v>19</v>
      </c>
      <c r="C480" s="50" t="s">
        <v>61</v>
      </c>
      <c r="D480" s="50" t="s">
        <v>324</v>
      </c>
      <c r="E480" s="50" t="s">
        <v>307</v>
      </c>
      <c r="F480" s="50" t="s">
        <v>20</v>
      </c>
      <c r="G480" s="204">
        <v>30</v>
      </c>
      <c r="H480" s="204">
        <v>5.5</v>
      </c>
      <c r="I480" s="212">
        <f t="shared" si="82"/>
        <v>0.18333333333333332</v>
      </c>
      <c r="J480" s="43">
        <v>1</v>
      </c>
      <c r="K480" s="43">
        <f t="shared" si="76"/>
        <v>30</v>
      </c>
      <c r="L480" s="43">
        <f t="shared" si="77"/>
        <v>5.5</v>
      </c>
      <c r="M480" s="43">
        <f t="shared" si="78"/>
        <v>0.18333333333333332</v>
      </c>
      <c r="N480" s="57">
        <f t="shared" si="79"/>
        <v>0</v>
      </c>
      <c r="O480" s="57">
        <f t="shared" si="80"/>
        <v>0</v>
      </c>
      <c r="P480" s="57">
        <f t="shared" si="81"/>
        <v>0</v>
      </c>
    </row>
    <row r="481" spans="2:19" ht="25.5">
      <c r="B481" s="15" t="s">
        <v>849</v>
      </c>
      <c r="C481" s="50" t="s">
        <v>61</v>
      </c>
      <c r="D481" s="50" t="s">
        <v>324</v>
      </c>
      <c r="E481" s="50" t="s">
        <v>845</v>
      </c>
      <c r="F481" s="50"/>
      <c r="G481" s="204">
        <f>G482</f>
        <v>110</v>
      </c>
      <c r="H481" s="204">
        <v>0</v>
      </c>
      <c r="I481" s="212">
        <f t="shared" si="82"/>
        <v>0</v>
      </c>
      <c r="J481" s="43"/>
      <c r="K481" s="43"/>
      <c r="L481" s="43"/>
      <c r="M481" s="43"/>
      <c r="N481" s="57"/>
      <c r="O481" s="57"/>
      <c r="P481" s="57"/>
    </row>
    <row r="482" spans="2:19">
      <c r="B482" s="15" t="s">
        <v>19</v>
      </c>
      <c r="C482" s="50" t="s">
        <v>61</v>
      </c>
      <c r="D482" s="50" t="s">
        <v>324</v>
      </c>
      <c r="E482" s="50" t="s">
        <v>845</v>
      </c>
      <c r="F482" s="50" t="s">
        <v>20</v>
      </c>
      <c r="G482" s="204">
        <v>110</v>
      </c>
      <c r="H482" s="204">
        <v>0</v>
      </c>
      <c r="I482" s="212">
        <f t="shared" si="82"/>
        <v>0</v>
      </c>
      <c r="J482" s="43"/>
      <c r="K482" s="43"/>
      <c r="L482" s="43"/>
      <c r="M482" s="43"/>
      <c r="N482" s="57"/>
      <c r="O482" s="57"/>
      <c r="P482" s="57"/>
    </row>
    <row r="483" spans="2:19" ht="25.5">
      <c r="B483" s="15" t="s">
        <v>850</v>
      </c>
      <c r="C483" s="50" t="s">
        <v>61</v>
      </c>
      <c r="D483" s="50" t="s">
        <v>324</v>
      </c>
      <c r="E483" s="50" t="s">
        <v>844</v>
      </c>
      <c r="F483" s="50"/>
      <c r="G483" s="204">
        <f>G484+G485+G486+G487</f>
        <v>2084</v>
      </c>
      <c r="H483" s="204">
        <v>2084</v>
      </c>
      <c r="I483" s="212">
        <f t="shared" si="82"/>
        <v>1</v>
      </c>
      <c r="J483" s="43"/>
      <c r="K483" s="43"/>
      <c r="L483" s="43"/>
      <c r="M483" s="43"/>
      <c r="N483" s="57"/>
      <c r="O483" s="57"/>
      <c r="P483" s="57"/>
    </row>
    <row r="484" spans="2:19" ht="25.5" hidden="1">
      <c r="B484" s="62" t="s">
        <v>866</v>
      </c>
      <c r="C484" s="50" t="s">
        <v>61</v>
      </c>
      <c r="D484" s="50" t="s">
        <v>324</v>
      </c>
      <c r="E484" s="50" t="s">
        <v>844</v>
      </c>
      <c r="F484" s="50" t="s">
        <v>265</v>
      </c>
      <c r="G484" s="204">
        <f>2876.5-2876.5</f>
        <v>0</v>
      </c>
      <c r="H484" s="204">
        <v>0</v>
      </c>
      <c r="I484" s="212" t="e">
        <f t="shared" si="82"/>
        <v>#DIV/0!</v>
      </c>
      <c r="J484" s="43"/>
      <c r="K484" s="43"/>
      <c r="L484" s="43"/>
      <c r="M484" s="43"/>
      <c r="N484" s="57"/>
      <c r="O484" s="57"/>
      <c r="P484" s="57"/>
    </row>
    <row r="485" spans="2:19" ht="25.5" hidden="1">
      <c r="B485" s="62" t="s">
        <v>867</v>
      </c>
      <c r="C485" s="50" t="s">
        <v>61</v>
      </c>
      <c r="D485" s="50" t="s">
        <v>324</v>
      </c>
      <c r="E485" s="50" t="s">
        <v>844</v>
      </c>
      <c r="F485" s="50" t="s">
        <v>265</v>
      </c>
      <c r="G485" s="204">
        <f>58.7-58.7</f>
        <v>0</v>
      </c>
      <c r="H485" s="204">
        <v>0</v>
      </c>
      <c r="I485" s="212" t="e">
        <f t="shared" si="82"/>
        <v>#DIV/0!</v>
      </c>
      <c r="J485" s="43"/>
      <c r="K485" s="43"/>
      <c r="L485" s="43"/>
      <c r="M485" s="43"/>
      <c r="N485" s="57"/>
      <c r="O485" s="57"/>
      <c r="P485" s="57"/>
    </row>
    <row r="486" spans="2:19">
      <c r="B486" s="15" t="s">
        <v>19</v>
      </c>
      <c r="C486" s="50" t="s">
        <v>61</v>
      </c>
      <c r="D486" s="50" t="s">
        <v>324</v>
      </c>
      <c r="E486" s="50" t="s">
        <v>844</v>
      </c>
      <c r="F486" s="50" t="s">
        <v>20</v>
      </c>
      <c r="G486" s="204">
        <f>2876.5-834.2</f>
        <v>2042.3</v>
      </c>
      <c r="H486" s="204">
        <v>2042.3</v>
      </c>
      <c r="I486" s="212">
        <f t="shared" si="82"/>
        <v>1</v>
      </c>
      <c r="J486" s="43"/>
      <c r="K486" s="43"/>
      <c r="L486" s="43"/>
      <c r="M486" s="43"/>
      <c r="N486" s="57"/>
      <c r="O486" s="57"/>
      <c r="P486" s="57"/>
    </row>
    <row r="487" spans="2:19">
      <c r="B487" s="15" t="s">
        <v>19</v>
      </c>
      <c r="C487" s="50" t="s">
        <v>61</v>
      </c>
      <c r="D487" s="50" t="s">
        <v>324</v>
      </c>
      <c r="E487" s="50" t="s">
        <v>844</v>
      </c>
      <c r="F487" s="50" t="s">
        <v>20</v>
      </c>
      <c r="G487" s="204">
        <f>58.7-17</f>
        <v>41.7</v>
      </c>
      <c r="H487" s="204">
        <v>41.7</v>
      </c>
      <c r="I487" s="212">
        <f t="shared" si="82"/>
        <v>1</v>
      </c>
      <c r="J487" s="43"/>
      <c r="K487" s="43"/>
      <c r="L487" s="43"/>
      <c r="M487" s="43"/>
      <c r="N487" s="57"/>
      <c r="O487" s="57"/>
      <c r="P487" s="57"/>
    </row>
    <row r="488" spans="2:19" ht="38.25">
      <c r="B488" s="62" t="s">
        <v>915</v>
      </c>
      <c r="C488" s="50" t="s">
        <v>61</v>
      </c>
      <c r="D488" s="50" t="s">
        <v>324</v>
      </c>
      <c r="E488" s="50" t="s">
        <v>916</v>
      </c>
      <c r="F488" s="50"/>
      <c r="G488" s="204">
        <f>G489</f>
        <v>400.5</v>
      </c>
      <c r="H488" s="204">
        <v>400</v>
      </c>
      <c r="I488" s="212">
        <f t="shared" si="82"/>
        <v>0.99875156054931336</v>
      </c>
      <c r="J488" s="43"/>
      <c r="K488" s="43"/>
      <c r="L488" s="43"/>
      <c r="M488" s="43"/>
      <c r="N488" s="57"/>
      <c r="O488" s="57"/>
      <c r="P488" s="57"/>
    </row>
    <row r="489" spans="2:19">
      <c r="B489" s="15" t="s">
        <v>19</v>
      </c>
      <c r="C489" s="50" t="s">
        <v>61</v>
      </c>
      <c r="D489" s="50" t="s">
        <v>324</v>
      </c>
      <c r="E489" s="50" t="s">
        <v>916</v>
      </c>
      <c r="F489" s="50" t="s">
        <v>20</v>
      </c>
      <c r="G489" s="204">
        <v>400.5</v>
      </c>
      <c r="H489" s="204">
        <v>400</v>
      </c>
      <c r="I489" s="212">
        <f t="shared" si="82"/>
        <v>0.99875156054931336</v>
      </c>
      <c r="J489" s="43"/>
      <c r="K489" s="43"/>
      <c r="L489" s="43"/>
      <c r="M489" s="43"/>
      <c r="N489" s="57"/>
      <c r="O489" s="57"/>
      <c r="P489" s="57"/>
    </row>
    <row r="490" spans="2:19" ht="38.25">
      <c r="B490" s="14" t="s">
        <v>367</v>
      </c>
      <c r="C490" s="11" t="s">
        <v>62</v>
      </c>
      <c r="D490" s="50"/>
      <c r="E490" s="50"/>
      <c r="F490" s="50"/>
      <c r="G490" s="203">
        <f>G491+G755</f>
        <v>284060.40000000002</v>
      </c>
      <c r="H490" s="203">
        <f>H491+H755</f>
        <v>262055.5</v>
      </c>
      <c r="I490" s="207">
        <f t="shared" si="82"/>
        <v>0.92253443281780911</v>
      </c>
      <c r="J490" s="45"/>
      <c r="K490" s="46">
        <f>SUM(K491:K770)</f>
        <v>88755.5</v>
      </c>
      <c r="L490" s="46">
        <f t="shared" ref="L490:P490" si="83">SUM(L491:L770)</f>
        <v>74219.199999999997</v>
      </c>
      <c r="M490" s="46" t="e">
        <f t="shared" si="83"/>
        <v>#DIV/0!</v>
      </c>
      <c r="N490" s="58">
        <f>SUM(N491:N770)</f>
        <v>194303.09999999998</v>
      </c>
      <c r="O490" s="58">
        <f t="shared" si="83"/>
        <v>185608.99999999997</v>
      </c>
      <c r="P490" s="58" t="e">
        <f t="shared" si="83"/>
        <v>#DIV/0!</v>
      </c>
      <c r="Q490" s="19"/>
      <c r="R490" s="19"/>
      <c r="S490" s="19"/>
    </row>
    <row r="491" spans="2:19">
      <c r="B491" s="14" t="s">
        <v>27</v>
      </c>
      <c r="C491" s="11" t="s">
        <v>62</v>
      </c>
      <c r="D491" s="11" t="s">
        <v>28</v>
      </c>
      <c r="E491" s="50"/>
      <c r="F491" s="50"/>
      <c r="G491" s="203">
        <f>G492+G560+G712+G728+G739</f>
        <v>270769.90000000002</v>
      </c>
      <c r="H491" s="203">
        <v>249132.6</v>
      </c>
      <c r="I491" s="207">
        <f t="shared" si="82"/>
        <v>0.92008971455098953</v>
      </c>
      <c r="J491" s="45"/>
      <c r="K491" s="43">
        <f t="shared" si="76"/>
        <v>0</v>
      </c>
      <c r="L491" s="43">
        <f t="shared" si="77"/>
        <v>0</v>
      </c>
      <c r="M491" s="43">
        <f t="shared" si="78"/>
        <v>0</v>
      </c>
      <c r="N491" s="57">
        <f t="shared" si="79"/>
        <v>0</v>
      </c>
      <c r="O491" s="57">
        <f t="shared" si="80"/>
        <v>0</v>
      </c>
      <c r="P491" s="57">
        <f t="shared" si="81"/>
        <v>0</v>
      </c>
    </row>
    <row r="492" spans="2:19">
      <c r="B492" s="14" t="s">
        <v>40</v>
      </c>
      <c r="C492" s="11" t="s">
        <v>62</v>
      </c>
      <c r="D492" s="11" t="s">
        <v>41</v>
      </c>
      <c r="E492" s="11" t="s">
        <v>12</v>
      </c>
      <c r="F492" s="50" t="s">
        <v>12</v>
      </c>
      <c r="G492" s="203">
        <v>54809.5</v>
      </c>
      <c r="H492" s="203">
        <v>49922.6</v>
      </c>
      <c r="I492" s="207">
        <f t="shared" si="82"/>
        <v>0.91083844953885729</v>
      </c>
      <c r="J492" s="45"/>
      <c r="K492" s="43">
        <f t="shared" ref="K492:K557" si="84">SUMIF(J492,1,G492)</f>
        <v>0</v>
      </c>
      <c r="L492" s="43">
        <f t="shared" ref="L492:L557" si="85">SUMIF(J492,1,H492)</f>
        <v>0</v>
      </c>
      <c r="M492" s="43">
        <f t="shared" ref="M492:M557" si="86">SUMIF(J492,1,I492)</f>
        <v>0</v>
      </c>
      <c r="N492" s="57">
        <f t="shared" ref="N492:N557" si="87">SUMIF(J492,2,G492)</f>
        <v>0</v>
      </c>
      <c r="O492" s="57">
        <f t="shared" ref="O492:O557" si="88">SUMIF(J492,2,H492)</f>
        <v>0</v>
      </c>
      <c r="P492" s="57">
        <f t="shared" ref="P492:P557" si="89">SUMIF(J492,2,I492)</f>
        <v>0</v>
      </c>
      <c r="Q492" s="19"/>
      <c r="R492" s="19"/>
      <c r="S492" s="19"/>
    </row>
    <row r="493" spans="2:19" ht="38.25">
      <c r="B493" s="74" t="s">
        <v>926</v>
      </c>
      <c r="C493" s="11" t="s">
        <v>62</v>
      </c>
      <c r="D493" s="11" t="s">
        <v>41</v>
      </c>
      <c r="E493" s="11" t="s">
        <v>346</v>
      </c>
      <c r="F493" s="11"/>
      <c r="G493" s="203">
        <f>G494+G497</f>
        <v>1256.3</v>
      </c>
      <c r="H493" s="203">
        <v>1256.2</v>
      </c>
      <c r="I493" s="207">
        <f t="shared" si="82"/>
        <v>0.99992040117806269</v>
      </c>
      <c r="J493" s="45"/>
      <c r="K493" s="43">
        <f t="shared" si="84"/>
        <v>0</v>
      </c>
      <c r="L493" s="43">
        <f t="shared" si="85"/>
        <v>0</v>
      </c>
      <c r="M493" s="43">
        <f t="shared" si="86"/>
        <v>0</v>
      </c>
      <c r="N493" s="57">
        <f t="shared" si="87"/>
        <v>0</v>
      </c>
      <c r="O493" s="57">
        <f t="shared" si="88"/>
        <v>0</v>
      </c>
      <c r="P493" s="57">
        <f t="shared" si="89"/>
        <v>0</v>
      </c>
    </row>
    <row r="494" spans="2:19">
      <c r="B494" s="15" t="s">
        <v>362</v>
      </c>
      <c r="C494" s="50" t="s">
        <v>62</v>
      </c>
      <c r="D494" s="50" t="s">
        <v>41</v>
      </c>
      <c r="E494" s="50" t="s">
        <v>357</v>
      </c>
      <c r="F494" s="50"/>
      <c r="G494" s="204">
        <f>SUM(G495:G496)</f>
        <v>1226.3</v>
      </c>
      <c r="H494" s="204">
        <v>1256.2</v>
      </c>
      <c r="I494" s="212">
        <f t="shared" si="82"/>
        <v>1.0243822881839681</v>
      </c>
      <c r="J494" s="45"/>
      <c r="K494" s="43">
        <f t="shared" si="84"/>
        <v>0</v>
      </c>
      <c r="L494" s="43">
        <f t="shared" si="85"/>
        <v>0</v>
      </c>
      <c r="M494" s="43">
        <f t="shared" si="86"/>
        <v>0</v>
      </c>
      <c r="N494" s="57">
        <f t="shared" si="87"/>
        <v>0</v>
      </c>
      <c r="O494" s="57">
        <f t="shared" si="88"/>
        <v>0</v>
      </c>
      <c r="P494" s="57">
        <f t="shared" si="89"/>
        <v>0</v>
      </c>
    </row>
    <row r="495" spans="2:19" ht="30.75" customHeight="1">
      <c r="B495" s="15" t="s">
        <v>504</v>
      </c>
      <c r="C495" s="50" t="s">
        <v>62</v>
      </c>
      <c r="D495" s="50" t="s">
        <v>41</v>
      </c>
      <c r="E495" s="50" t="s">
        <v>354</v>
      </c>
      <c r="F495" s="50" t="s">
        <v>20</v>
      </c>
      <c r="G495" s="204">
        <f>170-85+64.1+83-5.8+600+400</f>
        <v>1226.3</v>
      </c>
      <c r="H495" s="204">
        <v>0</v>
      </c>
      <c r="I495" s="212">
        <f t="shared" si="82"/>
        <v>0</v>
      </c>
      <c r="J495" s="45">
        <v>1</v>
      </c>
      <c r="K495" s="43">
        <f t="shared" si="84"/>
        <v>1226.3</v>
      </c>
      <c r="L495" s="43">
        <f t="shared" si="85"/>
        <v>0</v>
      </c>
      <c r="M495" s="43">
        <f t="shared" si="86"/>
        <v>0</v>
      </c>
      <c r="N495" s="57">
        <f t="shared" si="87"/>
        <v>0</v>
      </c>
      <c r="O495" s="57">
        <f t="shared" si="88"/>
        <v>0</v>
      </c>
      <c r="P495" s="57">
        <f t="shared" si="89"/>
        <v>0</v>
      </c>
    </row>
    <row r="496" spans="2:19" ht="28.5" hidden="1" customHeight="1">
      <c r="B496" s="15" t="s">
        <v>564</v>
      </c>
      <c r="C496" s="50" t="s">
        <v>62</v>
      </c>
      <c r="D496" s="50" t="s">
        <v>41</v>
      </c>
      <c r="E496" s="50" t="s">
        <v>562</v>
      </c>
      <c r="F496" s="50" t="s">
        <v>20</v>
      </c>
      <c r="G496" s="204">
        <v>0</v>
      </c>
      <c r="H496" s="204">
        <v>0</v>
      </c>
      <c r="I496" s="212" t="e">
        <f t="shared" si="82"/>
        <v>#DIV/0!</v>
      </c>
      <c r="J496" s="45">
        <v>2</v>
      </c>
      <c r="K496" s="43">
        <f t="shared" si="84"/>
        <v>0</v>
      </c>
      <c r="L496" s="43">
        <f t="shared" si="85"/>
        <v>0</v>
      </c>
      <c r="M496" s="43">
        <f t="shared" si="86"/>
        <v>0</v>
      </c>
      <c r="N496" s="57">
        <f t="shared" si="87"/>
        <v>0</v>
      </c>
      <c r="O496" s="57">
        <f t="shared" si="88"/>
        <v>0</v>
      </c>
      <c r="P496" s="57" t="e">
        <f t="shared" si="89"/>
        <v>#DIV/0!</v>
      </c>
    </row>
    <row r="497" spans="2:16" ht="25.5">
      <c r="B497" s="15" t="s">
        <v>454</v>
      </c>
      <c r="C497" s="50" t="s">
        <v>62</v>
      </c>
      <c r="D497" s="50" t="s">
        <v>41</v>
      </c>
      <c r="E497" s="50" t="s">
        <v>358</v>
      </c>
      <c r="F497" s="50"/>
      <c r="G497" s="204">
        <f>G498+G499</f>
        <v>30</v>
      </c>
      <c r="H497" s="204">
        <v>30</v>
      </c>
      <c r="I497" s="212">
        <f t="shared" si="82"/>
        <v>1</v>
      </c>
      <c r="J497" s="45"/>
      <c r="K497" s="43">
        <f t="shared" si="84"/>
        <v>0</v>
      </c>
      <c r="L497" s="43">
        <f t="shared" si="85"/>
        <v>0</v>
      </c>
      <c r="M497" s="43">
        <f t="shared" si="86"/>
        <v>0</v>
      </c>
      <c r="N497" s="57">
        <f t="shared" si="87"/>
        <v>0</v>
      </c>
      <c r="O497" s="57">
        <f t="shared" si="88"/>
        <v>0</v>
      </c>
      <c r="P497" s="57">
        <f t="shared" si="89"/>
        <v>0</v>
      </c>
    </row>
    <row r="498" spans="2:16">
      <c r="B498" s="15" t="s">
        <v>19</v>
      </c>
      <c r="C498" s="50" t="s">
        <v>62</v>
      </c>
      <c r="D498" s="50" t="s">
        <v>41</v>
      </c>
      <c r="E498" s="50" t="s">
        <v>353</v>
      </c>
      <c r="F498" s="50" t="s">
        <v>20</v>
      </c>
      <c r="G498" s="204">
        <f>210-85.9-64.1-5-25</f>
        <v>30</v>
      </c>
      <c r="H498" s="204">
        <v>30</v>
      </c>
      <c r="I498" s="212">
        <f t="shared" si="82"/>
        <v>1</v>
      </c>
      <c r="J498" s="45">
        <v>1</v>
      </c>
      <c r="K498" s="43">
        <f t="shared" si="84"/>
        <v>30</v>
      </c>
      <c r="L498" s="43">
        <f t="shared" si="85"/>
        <v>30</v>
      </c>
      <c r="M498" s="43">
        <f t="shared" si="86"/>
        <v>1</v>
      </c>
      <c r="N498" s="57">
        <f t="shared" si="87"/>
        <v>0</v>
      </c>
      <c r="O498" s="57">
        <f t="shared" si="88"/>
        <v>0</v>
      </c>
      <c r="P498" s="57">
        <f t="shared" si="89"/>
        <v>0</v>
      </c>
    </row>
    <row r="499" spans="2:16" ht="25.5" hidden="1">
      <c r="B499" s="15" t="s">
        <v>509</v>
      </c>
      <c r="C499" s="50" t="s">
        <v>62</v>
      </c>
      <c r="D499" s="50" t="s">
        <v>41</v>
      </c>
      <c r="E499" s="50" t="s">
        <v>353</v>
      </c>
      <c r="F499" s="50" t="s">
        <v>20</v>
      </c>
      <c r="G499" s="204">
        <v>0</v>
      </c>
      <c r="H499" s="204">
        <v>0</v>
      </c>
      <c r="I499" s="207" t="e">
        <f t="shared" si="82"/>
        <v>#DIV/0!</v>
      </c>
      <c r="J499" s="45">
        <v>2</v>
      </c>
      <c r="K499" s="43">
        <f t="shared" si="84"/>
        <v>0</v>
      </c>
      <c r="L499" s="43">
        <f t="shared" si="85"/>
        <v>0</v>
      </c>
      <c r="M499" s="43">
        <f t="shared" si="86"/>
        <v>0</v>
      </c>
      <c r="N499" s="57">
        <f t="shared" si="87"/>
        <v>0</v>
      </c>
      <c r="O499" s="57">
        <f t="shared" si="88"/>
        <v>0</v>
      </c>
      <c r="P499" s="57" t="e">
        <f t="shared" si="89"/>
        <v>#DIV/0!</v>
      </c>
    </row>
    <row r="500" spans="2:16" ht="51" hidden="1">
      <c r="B500" s="26" t="s">
        <v>412</v>
      </c>
      <c r="C500" s="11" t="s">
        <v>62</v>
      </c>
      <c r="D500" s="11" t="s">
        <v>41</v>
      </c>
      <c r="E500" s="11" t="s">
        <v>415</v>
      </c>
      <c r="F500" s="11"/>
      <c r="G500" s="203">
        <f>G501+G503</f>
        <v>0</v>
      </c>
      <c r="H500" s="203"/>
      <c r="I500" s="207" t="e">
        <f t="shared" si="82"/>
        <v>#DIV/0!</v>
      </c>
      <c r="J500" s="45"/>
      <c r="K500" s="43">
        <f t="shared" si="84"/>
        <v>0</v>
      </c>
      <c r="L500" s="43">
        <f t="shared" si="85"/>
        <v>0</v>
      </c>
      <c r="M500" s="43">
        <f t="shared" si="86"/>
        <v>0</v>
      </c>
      <c r="N500" s="57">
        <f t="shared" si="87"/>
        <v>0</v>
      </c>
      <c r="O500" s="57">
        <f t="shared" si="88"/>
        <v>0</v>
      </c>
      <c r="P500" s="57">
        <f t="shared" si="89"/>
        <v>0</v>
      </c>
    </row>
    <row r="501" spans="2:16" ht="42" hidden="1" customHeight="1">
      <c r="B501" s="15" t="s">
        <v>471</v>
      </c>
      <c r="C501" s="50" t="s">
        <v>62</v>
      </c>
      <c r="D501" s="50" t="s">
        <v>41</v>
      </c>
      <c r="E501" s="50" t="s">
        <v>455</v>
      </c>
      <c r="F501" s="50"/>
      <c r="G501" s="204">
        <f>G502</f>
        <v>0</v>
      </c>
      <c r="H501" s="204"/>
      <c r="I501" s="207" t="e">
        <f t="shared" si="82"/>
        <v>#DIV/0!</v>
      </c>
      <c r="J501" s="45"/>
      <c r="K501" s="43">
        <f t="shared" si="84"/>
        <v>0</v>
      </c>
      <c r="L501" s="43">
        <f t="shared" si="85"/>
        <v>0</v>
      </c>
      <c r="M501" s="43">
        <f t="shared" si="86"/>
        <v>0</v>
      </c>
      <c r="N501" s="57">
        <f t="shared" si="87"/>
        <v>0</v>
      </c>
      <c r="O501" s="57">
        <f t="shared" si="88"/>
        <v>0</v>
      </c>
      <c r="P501" s="57">
        <f t="shared" si="89"/>
        <v>0</v>
      </c>
    </row>
    <row r="502" spans="2:16" hidden="1">
      <c r="B502" s="15" t="s">
        <v>19</v>
      </c>
      <c r="C502" s="50" t="s">
        <v>62</v>
      </c>
      <c r="D502" s="50" t="s">
        <v>41</v>
      </c>
      <c r="E502" s="50" t="s">
        <v>456</v>
      </c>
      <c r="F502" s="50" t="s">
        <v>20</v>
      </c>
      <c r="G502" s="204">
        <v>0</v>
      </c>
      <c r="H502" s="204"/>
      <c r="I502" s="207" t="e">
        <f t="shared" si="82"/>
        <v>#DIV/0!</v>
      </c>
      <c r="J502" s="45">
        <v>1</v>
      </c>
      <c r="K502" s="43">
        <f t="shared" si="84"/>
        <v>0</v>
      </c>
      <c r="L502" s="43">
        <f t="shared" si="85"/>
        <v>0</v>
      </c>
      <c r="M502" s="43" t="e">
        <f t="shared" si="86"/>
        <v>#DIV/0!</v>
      </c>
      <c r="N502" s="57">
        <f t="shared" si="87"/>
        <v>0</v>
      </c>
      <c r="O502" s="57">
        <f t="shared" si="88"/>
        <v>0</v>
      </c>
      <c r="P502" s="57">
        <f t="shared" si="89"/>
        <v>0</v>
      </c>
    </row>
    <row r="503" spans="2:16" ht="42" hidden="1" customHeight="1">
      <c r="B503" s="15" t="s">
        <v>555</v>
      </c>
      <c r="C503" s="50" t="s">
        <v>62</v>
      </c>
      <c r="D503" s="50" t="s">
        <v>41</v>
      </c>
      <c r="E503" s="50" t="s">
        <v>483</v>
      </c>
      <c r="F503" s="50"/>
      <c r="G503" s="204">
        <f>G505+G504</f>
        <v>0</v>
      </c>
      <c r="H503" s="204"/>
      <c r="I503" s="207" t="e">
        <f t="shared" si="82"/>
        <v>#DIV/0!</v>
      </c>
      <c r="J503" s="45"/>
      <c r="K503" s="43">
        <f t="shared" si="84"/>
        <v>0</v>
      </c>
      <c r="L503" s="43">
        <f t="shared" si="85"/>
        <v>0</v>
      </c>
      <c r="M503" s="43">
        <f t="shared" si="86"/>
        <v>0</v>
      </c>
      <c r="N503" s="57">
        <f t="shared" si="87"/>
        <v>0</v>
      </c>
      <c r="O503" s="57">
        <f t="shared" si="88"/>
        <v>0</v>
      </c>
      <c r="P503" s="57">
        <f t="shared" si="89"/>
        <v>0</v>
      </c>
    </row>
    <row r="504" spans="2:16" ht="25.5" hidden="1">
      <c r="B504" s="15" t="s">
        <v>509</v>
      </c>
      <c r="C504" s="50" t="s">
        <v>62</v>
      </c>
      <c r="D504" s="50" t="s">
        <v>41</v>
      </c>
      <c r="E504" s="50" t="s">
        <v>547</v>
      </c>
      <c r="F504" s="50" t="s">
        <v>20</v>
      </c>
      <c r="G504" s="204">
        <v>0</v>
      </c>
      <c r="H504" s="204"/>
      <c r="I504" s="207" t="e">
        <f t="shared" si="82"/>
        <v>#DIV/0!</v>
      </c>
      <c r="J504" s="45">
        <v>2</v>
      </c>
      <c r="K504" s="43">
        <f t="shared" si="84"/>
        <v>0</v>
      </c>
      <c r="L504" s="43">
        <f t="shared" si="85"/>
        <v>0</v>
      </c>
      <c r="M504" s="43">
        <f t="shared" si="86"/>
        <v>0</v>
      </c>
      <c r="N504" s="57">
        <f t="shared" si="87"/>
        <v>0</v>
      </c>
      <c r="O504" s="57">
        <f t="shared" si="88"/>
        <v>0</v>
      </c>
      <c r="P504" s="57" t="e">
        <f t="shared" si="89"/>
        <v>#DIV/0!</v>
      </c>
    </row>
    <row r="505" spans="2:16" ht="25.5" hidden="1">
      <c r="B505" s="15" t="s">
        <v>504</v>
      </c>
      <c r="C505" s="50" t="s">
        <v>62</v>
      </c>
      <c r="D505" s="50" t="s">
        <v>41</v>
      </c>
      <c r="E505" s="50" t="s">
        <v>547</v>
      </c>
      <c r="F505" s="50" t="s">
        <v>20</v>
      </c>
      <c r="G505" s="204">
        <v>0</v>
      </c>
      <c r="H505" s="204"/>
      <c r="I505" s="207" t="e">
        <f t="shared" si="82"/>
        <v>#DIV/0!</v>
      </c>
      <c r="J505" s="45">
        <v>1</v>
      </c>
      <c r="K505" s="43">
        <f t="shared" si="84"/>
        <v>0</v>
      </c>
      <c r="L505" s="43">
        <f t="shared" si="85"/>
        <v>0</v>
      </c>
      <c r="M505" s="43" t="e">
        <f t="shared" si="86"/>
        <v>#DIV/0!</v>
      </c>
      <c r="N505" s="57">
        <f t="shared" si="87"/>
        <v>0</v>
      </c>
      <c r="O505" s="57">
        <f t="shared" si="88"/>
        <v>0</v>
      </c>
      <c r="P505" s="57">
        <f t="shared" si="89"/>
        <v>0</v>
      </c>
    </row>
    <row r="506" spans="2:16">
      <c r="B506" s="14" t="s">
        <v>78</v>
      </c>
      <c r="C506" s="11" t="s">
        <v>62</v>
      </c>
      <c r="D506" s="11" t="s">
        <v>41</v>
      </c>
      <c r="E506" s="11" t="s">
        <v>139</v>
      </c>
      <c r="F506" s="11"/>
      <c r="G506" s="203">
        <f>G507+G547+G517+G513+G537+G549+G511+G515+G535</f>
        <v>53440.499999999993</v>
      </c>
      <c r="H506" s="203">
        <v>39660.300000000003</v>
      </c>
      <c r="I506" s="207">
        <f t="shared" si="82"/>
        <v>0.74213938866589957</v>
      </c>
      <c r="J506" s="45"/>
      <c r="K506" s="43">
        <f t="shared" si="84"/>
        <v>0</v>
      </c>
      <c r="L506" s="43">
        <f t="shared" si="85"/>
        <v>0</v>
      </c>
      <c r="M506" s="43">
        <f t="shared" si="86"/>
        <v>0</v>
      </c>
      <c r="N506" s="57">
        <f t="shared" si="87"/>
        <v>0</v>
      </c>
      <c r="O506" s="57">
        <f t="shared" si="88"/>
        <v>0</v>
      </c>
      <c r="P506" s="57">
        <f t="shared" si="89"/>
        <v>0</v>
      </c>
    </row>
    <row r="507" spans="2:16">
      <c r="B507" s="14" t="s">
        <v>105</v>
      </c>
      <c r="C507" s="11" t="s">
        <v>62</v>
      </c>
      <c r="D507" s="11" t="s">
        <v>41</v>
      </c>
      <c r="E507" s="11" t="s">
        <v>148</v>
      </c>
      <c r="F507" s="11"/>
      <c r="G507" s="203">
        <f>G508+G509+G510</f>
        <v>19527.3</v>
      </c>
      <c r="H507" s="203">
        <v>16766.400000000001</v>
      </c>
      <c r="I507" s="207">
        <f t="shared" si="82"/>
        <v>0.85861332595904205</v>
      </c>
      <c r="J507" s="45"/>
      <c r="K507" s="43">
        <f t="shared" si="84"/>
        <v>0</v>
      </c>
      <c r="L507" s="43">
        <f t="shared" si="85"/>
        <v>0</v>
      </c>
      <c r="M507" s="43">
        <f t="shared" si="86"/>
        <v>0</v>
      </c>
      <c r="N507" s="57">
        <f t="shared" si="87"/>
        <v>0</v>
      </c>
      <c r="O507" s="57">
        <f t="shared" si="88"/>
        <v>0</v>
      </c>
      <c r="P507" s="57">
        <f t="shared" si="89"/>
        <v>0</v>
      </c>
    </row>
    <row r="508" spans="2:16" ht="38.25">
      <c r="B508" s="15" t="s">
        <v>17</v>
      </c>
      <c r="C508" s="50" t="s">
        <v>62</v>
      </c>
      <c r="D508" s="50" t="s">
        <v>41</v>
      </c>
      <c r="E508" s="50" t="s">
        <v>148</v>
      </c>
      <c r="F508" s="50" t="s">
        <v>18</v>
      </c>
      <c r="G508" s="204">
        <f>11041.4-12.4+3070+930-71.2-824-176+1.1-29.7-170-52-230-69.5+269.5+81.4</f>
        <v>13758.599999999999</v>
      </c>
      <c r="H508" s="204">
        <v>12050.2</v>
      </c>
      <c r="I508" s="212">
        <f t="shared" si="82"/>
        <v>0.87583038971988447</v>
      </c>
      <c r="J508" s="45">
        <v>1</v>
      </c>
      <c r="K508" s="43">
        <f t="shared" si="84"/>
        <v>13758.599999999999</v>
      </c>
      <c r="L508" s="43">
        <f t="shared" si="85"/>
        <v>12050.2</v>
      </c>
      <c r="M508" s="43">
        <f t="shared" si="86"/>
        <v>0.87583038971988447</v>
      </c>
      <c r="N508" s="57">
        <f t="shared" si="87"/>
        <v>0</v>
      </c>
      <c r="O508" s="57">
        <f t="shared" si="88"/>
        <v>0</v>
      </c>
      <c r="P508" s="57">
        <f t="shared" si="89"/>
        <v>0</v>
      </c>
    </row>
    <row r="509" spans="2:16">
      <c r="B509" s="15" t="s">
        <v>19</v>
      </c>
      <c r="C509" s="50" t="s">
        <v>62</v>
      </c>
      <c r="D509" s="50" t="s">
        <v>41</v>
      </c>
      <c r="E509" s="50" t="s">
        <v>148</v>
      </c>
      <c r="F509" s="50" t="s">
        <v>20</v>
      </c>
      <c r="G509" s="204">
        <f>265.1+4652.1+112+9.3+63.7+15.6+18+50+144+95-83-168+92.4+325+95</f>
        <v>5686.2000000000007</v>
      </c>
      <c r="H509" s="204">
        <v>4633.7</v>
      </c>
      <c r="I509" s="212">
        <f t="shared" si="82"/>
        <v>0.81490274700151233</v>
      </c>
      <c r="J509" s="45">
        <v>1</v>
      </c>
      <c r="K509" s="43">
        <f t="shared" si="84"/>
        <v>5686.2000000000007</v>
      </c>
      <c r="L509" s="43">
        <f t="shared" si="85"/>
        <v>4633.7</v>
      </c>
      <c r="M509" s="43">
        <f t="shared" si="86"/>
        <v>0.81490274700151233</v>
      </c>
      <c r="N509" s="57">
        <f t="shared" si="87"/>
        <v>0</v>
      </c>
      <c r="O509" s="57">
        <f t="shared" si="88"/>
        <v>0</v>
      </c>
      <c r="P509" s="57">
        <f t="shared" si="89"/>
        <v>0</v>
      </c>
    </row>
    <row r="510" spans="2:16" ht="25.5">
      <c r="B510" s="15" t="s">
        <v>566</v>
      </c>
      <c r="C510" s="50" t="s">
        <v>62</v>
      </c>
      <c r="D510" s="50" t="s">
        <v>41</v>
      </c>
      <c r="E510" s="50" t="s">
        <v>148</v>
      </c>
      <c r="F510" s="50" t="s">
        <v>26</v>
      </c>
      <c r="G510" s="204">
        <f>12.4+71.2-1.1</f>
        <v>82.500000000000014</v>
      </c>
      <c r="H510" s="204">
        <v>82.5</v>
      </c>
      <c r="I510" s="212">
        <f t="shared" si="82"/>
        <v>0.99999999999999978</v>
      </c>
      <c r="J510" s="45">
        <v>1</v>
      </c>
      <c r="K510" s="43">
        <f t="shared" si="84"/>
        <v>82.500000000000014</v>
      </c>
      <c r="L510" s="43">
        <f t="shared" si="85"/>
        <v>82.5</v>
      </c>
      <c r="M510" s="43">
        <f t="shared" si="86"/>
        <v>0.99999999999999978</v>
      </c>
      <c r="N510" s="57">
        <f t="shared" si="87"/>
        <v>0</v>
      </c>
      <c r="O510" s="57">
        <f t="shared" si="88"/>
        <v>0</v>
      </c>
      <c r="P510" s="57">
        <f t="shared" si="89"/>
        <v>0</v>
      </c>
    </row>
    <row r="511" spans="2:16" ht="25.5">
      <c r="B511" s="14" t="s">
        <v>339</v>
      </c>
      <c r="C511" s="11" t="s">
        <v>62</v>
      </c>
      <c r="D511" s="11" t="s">
        <v>41</v>
      </c>
      <c r="E511" s="11" t="s">
        <v>174</v>
      </c>
      <c r="F511" s="11"/>
      <c r="G511" s="203">
        <f>G512</f>
        <v>632.70000000000005</v>
      </c>
      <c r="H511" s="203">
        <v>461.6</v>
      </c>
      <c r="I511" s="207">
        <f t="shared" si="82"/>
        <v>0.72957167694009795</v>
      </c>
      <c r="J511" s="45"/>
      <c r="K511" s="43">
        <f t="shared" si="84"/>
        <v>0</v>
      </c>
      <c r="L511" s="43">
        <f t="shared" si="85"/>
        <v>0</v>
      </c>
      <c r="M511" s="43">
        <f t="shared" si="86"/>
        <v>0</v>
      </c>
      <c r="N511" s="57">
        <f t="shared" si="87"/>
        <v>0</v>
      </c>
      <c r="O511" s="57">
        <f t="shared" si="88"/>
        <v>0</v>
      </c>
      <c r="P511" s="57">
        <f t="shared" si="89"/>
        <v>0</v>
      </c>
    </row>
    <row r="512" spans="2:16" ht="25.5">
      <c r="B512" s="15" t="s">
        <v>30</v>
      </c>
      <c r="C512" s="50" t="s">
        <v>62</v>
      </c>
      <c r="D512" s="50" t="s">
        <v>41</v>
      </c>
      <c r="E512" s="50" t="s">
        <v>174</v>
      </c>
      <c r="F512" s="50" t="s">
        <v>31</v>
      </c>
      <c r="G512" s="204">
        <v>632.70000000000005</v>
      </c>
      <c r="H512" s="204">
        <v>461.6</v>
      </c>
      <c r="I512" s="212">
        <f t="shared" si="82"/>
        <v>0.72957167694009795</v>
      </c>
      <c r="J512" s="45">
        <v>1</v>
      </c>
      <c r="K512" s="43">
        <f t="shared" si="84"/>
        <v>632.70000000000005</v>
      </c>
      <c r="L512" s="43">
        <f t="shared" si="85"/>
        <v>461.6</v>
      </c>
      <c r="M512" s="43">
        <f t="shared" si="86"/>
        <v>0.72957167694009795</v>
      </c>
      <c r="N512" s="57">
        <f t="shared" si="87"/>
        <v>0</v>
      </c>
      <c r="O512" s="57">
        <f t="shared" si="88"/>
        <v>0</v>
      </c>
      <c r="P512" s="57">
        <f t="shared" si="89"/>
        <v>0</v>
      </c>
    </row>
    <row r="513" spans="2:16">
      <c r="B513" s="14" t="s">
        <v>213</v>
      </c>
      <c r="C513" s="11" t="s">
        <v>62</v>
      </c>
      <c r="D513" s="11" t="s">
        <v>41</v>
      </c>
      <c r="E513" s="11" t="s">
        <v>212</v>
      </c>
      <c r="F513" s="11"/>
      <c r="G513" s="203">
        <f>G514</f>
        <v>5762.7</v>
      </c>
      <c r="H513" s="203">
        <v>4918.3</v>
      </c>
      <c r="I513" s="207">
        <f t="shared" si="82"/>
        <v>0.85347146302948274</v>
      </c>
      <c r="J513" s="45"/>
      <c r="K513" s="43">
        <f t="shared" si="84"/>
        <v>0</v>
      </c>
      <c r="L513" s="43">
        <f t="shared" si="85"/>
        <v>0</v>
      </c>
      <c r="M513" s="43">
        <f t="shared" si="86"/>
        <v>0</v>
      </c>
      <c r="N513" s="57">
        <f t="shared" si="87"/>
        <v>0</v>
      </c>
      <c r="O513" s="57">
        <f t="shared" si="88"/>
        <v>0</v>
      </c>
      <c r="P513" s="57">
        <f t="shared" si="89"/>
        <v>0</v>
      </c>
    </row>
    <row r="514" spans="2:16">
      <c r="B514" s="15" t="s">
        <v>19</v>
      </c>
      <c r="C514" s="50" t="s">
        <v>62</v>
      </c>
      <c r="D514" s="50" t="s">
        <v>41</v>
      </c>
      <c r="E514" s="50" t="s">
        <v>212</v>
      </c>
      <c r="F514" s="50" t="s">
        <v>20</v>
      </c>
      <c r="G514" s="204">
        <f>5999.9+137.8+85-460</f>
        <v>5762.7</v>
      </c>
      <c r="H514" s="204">
        <v>4918.3</v>
      </c>
      <c r="I514" s="212">
        <f t="shared" si="82"/>
        <v>0.85347146302948274</v>
      </c>
      <c r="J514" s="45">
        <v>1</v>
      </c>
      <c r="K514" s="43">
        <f t="shared" si="84"/>
        <v>5762.7</v>
      </c>
      <c r="L514" s="43">
        <f t="shared" si="85"/>
        <v>4918.3</v>
      </c>
      <c r="M514" s="43">
        <f t="shared" si="86"/>
        <v>0.85347146302948274</v>
      </c>
      <c r="N514" s="57">
        <f t="shared" si="87"/>
        <v>0</v>
      </c>
      <c r="O514" s="57">
        <f t="shared" si="88"/>
        <v>0</v>
      </c>
      <c r="P514" s="57">
        <f t="shared" si="89"/>
        <v>0</v>
      </c>
    </row>
    <row r="515" spans="2:16">
      <c r="B515" s="14" t="s">
        <v>396</v>
      </c>
      <c r="C515" s="11" t="s">
        <v>62</v>
      </c>
      <c r="D515" s="11" t="s">
        <v>41</v>
      </c>
      <c r="E515" s="11" t="s">
        <v>397</v>
      </c>
      <c r="F515" s="11"/>
      <c r="G515" s="203">
        <f>G516</f>
        <v>240.4</v>
      </c>
      <c r="H515" s="203">
        <v>186.6</v>
      </c>
      <c r="I515" s="207">
        <f t="shared" si="82"/>
        <v>0.77620632279534107</v>
      </c>
      <c r="J515" s="42"/>
      <c r="K515" s="43">
        <f t="shared" si="84"/>
        <v>0</v>
      </c>
      <c r="L515" s="43">
        <f t="shared" si="85"/>
        <v>0</v>
      </c>
      <c r="M515" s="43">
        <f t="shared" si="86"/>
        <v>0</v>
      </c>
      <c r="N515" s="57">
        <f t="shared" si="87"/>
        <v>0</v>
      </c>
      <c r="O515" s="57">
        <f t="shared" si="88"/>
        <v>0</v>
      </c>
      <c r="P515" s="57">
        <f t="shared" si="89"/>
        <v>0</v>
      </c>
    </row>
    <row r="516" spans="2:16">
      <c r="B516" s="15" t="s">
        <v>19</v>
      </c>
      <c r="C516" s="50" t="s">
        <v>62</v>
      </c>
      <c r="D516" s="50" t="s">
        <v>41</v>
      </c>
      <c r="E516" s="50" t="s">
        <v>397</v>
      </c>
      <c r="F516" s="50" t="s">
        <v>20</v>
      </c>
      <c r="G516" s="204">
        <f>240.4</f>
        <v>240.4</v>
      </c>
      <c r="H516" s="204">
        <v>186.6</v>
      </c>
      <c r="I516" s="212">
        <f t="shared" si="82"/>
        <v>0.77620632279534107</v>
      </c>
      <c r="J516" s="42">
        <v>1</v>
      </c>
      <c r="K516" s="43">
        <f t="shared" si="84"/>
        <v>240.4</v>
      </c>
      <c r="L516" s="43">
        <f t="shared" si="85"/>
        <v>186.6</v>
      </c>
      <c r="M516" s="43">
        <f t="shared" si="86"/>
        <v>0.77620632279534107</v>
      </c>
      <c r="N516" s="57">
        <f t="shared" si="87"/>
        <v>0</v>
      </c>
      <c r="O516" s="57">
        <f t="shared" si="88"/>
        <v>0</v>
      </c>
      <c r="P516" s="57">
        <f t="shared" si="89"/>
        <v>0</v>
      </c>
    </row>
    <row r="517" spans="2:16" ht="25.5">
      <c r="B517" s="14" t="s">
        <v>118</v>
      </c>
      <c r="C517" s="11" t="s">
        <v>62</v>
      </c>
      <c r="D517" s="11" t="s">
        <v>41</v>
      </c>
      <c r="E517" s="11" t="s">
        <v>173</v>
      </c>
      <c r="F517" s="11"/>
      <c r="G517" s="203">
        <f>G518+G522</f>
        <v>15265.299999999997</v>
      </c>
      <c r="H517" s="203">
        <v>15055.9</v>
      </c>
      <c r="I517" s="207">
        <f t="shared" si="82"/>
        <v>0.98628261481923063</v>
      </c>
      <c r="J517" s="45"/>
      <c r="K517" s="43">
        <f t="shared" si="84"/>
        <v>0</v>
      </c>
      <c r="L517" s="43">
        <f t="shared" si="85"/>
        <v>0</v>
      </c>
      <c r="M517" s="43">
        <f t="shared" si="86"/>
        <v>0</v>
      </c>
      <c r="N517" s="57">
        <f t="shared" si="87"/>
        <v>0</v>
      </c>
      <c r="O517" s="57">
        <f t="shared" si="88"/>
        <v>0</v>
      </c>
      <c r="P517" s="57">
        <f t="shared" si="89"/>
        <v>0</v>
      </c>
    </row>
    <row r="518" spans="2:16" ht="38.25">
      <c r="B518" s="15" t="s">
        <v>17</v>
      </c>
      <c r="C518" s="50" t="s">
        <v>62</v>
      </c>
      <c r="D518" s="50" t="s">
        <v>41</v>
      </c>
      <c r="E518" s="11" t="s">
        <v>173</v>
      </c>
      <c r="F518" s="11"/>
      <c r="G518" s="203">
        <f>G519+G521+G520</f>
        <v>15027.499999999998</v>
      </c>
      <c r="H518" s="203">
        <v>14818.1</v>
      </c>
      <c r="I518" s="207">
        <f t="shared" si="82"/>
        <v>0.98606554649808698</v>
      </c>
      <c r="J518" s="43"/>
      <c r="K518" s="43">
        <f t="shared" si="84"/>
        <v>0</v>
      </c>
      <c r="L518" s="43">
        <f t="shared" si="85"/>
        <v>0</v>
      </c>
      <c r="M518" s="43">
        <f t="shared" si="86"/>
        <v>0</v>
      </c>
      <c r="N518" s="57">
        <f t="shared" si="87"/>
        <v>0</v>
      </c>
      <c r="O518" s="57">
        <f t="shared" si="88"/>
        <v>0</v>
      </c>
      <c r="P518" s="57">
        <f t="shared" si="89"/>
        <v>0</v>
      </c>
    </row>
    <row r="519" spans="2:16" ht="25.5">
      <c r="B519" s="15" t="s">
        <v>188</v>
      </c>
      <c r="C519" s="50" t="s">
        <v>62</v>
      </c>
      <c r="D519" s="50" t="s">
        <v>41</v>
      </c>
      <c r="E519" s="50" t="s">
        <v>200</v>
      </c>
      <c r="F519" s="50" t="s">
        <v>18</v>
      </c>
      <c r="G519" s="204">
        <v>11363.8</v>
      </c>
      <c r="H519" s="204">
        <v>11188.7</v>
      </c>
      <c r="I519" s="212">
        <f t="shared" si="82"/>
        <v>0.984591421883525</v>
      </c>
      <c r="J519" s="42">
        <v>2</v>
      </c>
      <c r="K519" s="43">
        <f t="shared" si="84"/>
        <v>0</v>
      </c>
      <c r="L519" s="43">
        <f t="shared" si="85"/>
        <v>0</v>
      </c>
      <c r="M519" s="43">
        <f t="shared" si="86"/>
        <v>0</v>
      </c>
      <c r="N519" s="57">
        <f t="shared" si="87"/>
        <v>11363.8</v>
      </c>
      <c r="O519" s="57">
        <f t="shared" si="88"/>
        <v>11188.7</v>
      </c>
      <c r="P519" s="57">
        <f t="shared" si="89"/>
        <v>0.984591421883525</v>
      </c>
    </row>
    <row r="520" spans="2:16" ht="25.5">
      <c r="B520" s="15" t="s">
        <v>566</v>
      </c>
      <c r="C520" s="50" t="s">
        <v>62</v>
      </c>
      <c r="D520" s="50" t="s">
        <v>41</v>
      </c>
      <c r="E520" s="50" t="s">
        <v>200</v>
      </c>
      <c r="F520" s="50" t="s">
        <v>914</v>
      </c>
      <c r="G520" s="204">
        <f>85-16-13.2</f>
        <v>55.8</v>
      </c>
      <c r="H520" s="204">
        <v>55.8</v>
      </c>
      <c r="I520" s="212">
        <f t="shared" si="82"/>
        <v>1</v>
      </c>
      <c r="J520" s="42"/>
      <c r="K520" s="43"/>
      <c r="L520" s="43"/>
      <c r="M520" s="43"/>
      <c r="N520" s="57"/>
      <c r="O520" s="57"/>
      <c r="P520" s="57"/>
    </row>
    <row r="521" spans="2:16" ht="25.5">
      <c r="B521" s="15" t="s">
        <v>189</v>
      </c>
      <c r="C521" s="50" t="s">
        <v>62</v>
      </c>
      <c r="D521" s="50" t="s">
        <v>41</v>
      </c>
      <c r="E521" s="50" t="s">
        <v>201</v>
      </c>
      <c r="F521" s="50" t="s">
        <v>18</v>
      </c>
      <c r="G521" s="204">
        <f>4382.4+340.5-29-237.8-569.2-210.9-68.1</f>
        <v>3607.8999999999996</v>
      </c>
      <c r="H521" s="204">
        <v>3573.6</v>
      </c>
      <c r="I521" s="212">
        <f t="shared" si="82"/>
        <v>0.99049308461986207</v>
      </c>
      <c r="J521" s="42">
        <v>2</v>
      </c>
      <c r="K521" s="43">
        <f t="shared" si="84"/>
        <v>0</v>
      </c>
      <c r="L521" s="43">
        <f t="shared" si="85"/>
        <v>0</v>
      </c>
      <c r="M521" s="43">
        <f t="shared" si="86"/>
        <v>0</v>
      </c>
      <c r="N521" s="57">
        <f t="shared" si="87"/>
        <v>3607.8999999999996</v>
      </c>
      <c r="O521" s="57">
        <f t="shared" si="88"/>
        <v>3573.6</v>
      </c>
      <c r="P521" s="57">
        <f t="shared" si="89"/>
        <v>0.99049308461986207</v>
      </c>
    </row>
    <row r="522" spans="2:16">
      <c r="B522" s="15" t="s">
        <v>19</v>
      </c>
      <c r="C522" s="50" t="s">
        <v>62</v>
      </c>
      <c r="D522" s="50" t="s">
        <v>41</v>
      </c>
      <c r="E522" s="11" t="s">
        <v>199</v>
      </c>
      <c r="F522" s="11"/>
      <c r="G522" s="203">
        <f>G523</f>
        <v>237.80000000000004</v>
      </c>
      <c r="H522" s="203">
        <v>237.8</v>
      </c>
      <c r="I522" s="207">
        <f t="shared" si="82"/>
        <v>0.99999999999999989</v>
      </c>
      <c r="J522" s="42"/>
      <c r="K522" s="43">
        <f t="shared" si="84"/>
        <v>0</v>
      </c>
      <c r="L522" s="43">
        <f t="shared" si="85"/>
        <v>0</v>
      </c>
      <c r="M522" s="43">
        <f t="shared" si="86"/>
        <v>0</v>
      </c>
      <c r="N522" s="57">
        <f t="shared" si="87"/>
        <v>0</v>
      </c>
      <c r="O522" s="57">
        <f t="shared" si="88"/>
        <v>0</v>
      </c>
      <c r="P522" s="57">
        <f t="shared" si="89"/>
        <v>0</v>
      </c>
    </row>
    <row r="523" spans="2:16" ht="30" customHeight="1">
      <c r="B523" s="15" t="s">
        <v>190</v>
      </c>
      <c r="C523" s="50" t="s">
        <v>62</v>
      </c>
      <c r="D523" s="50" t="s">
        <v>41</v>
      </c>
      <c r="E523" s="50" t="s">
        <v>199</v>
      </c>
      <c r="F523" s="50" t="s">
        <v>20</v>
      </c>
      <c r="G523" s="204">
        <f>484.1-317.7-166.4+237.8</f>
        <v>237.80000000000004</v>
      </c>
      <c r="H523" s="204">
        <v>237.8</v>
      </c>
      <c r="I523" s="212">
        <f t="shared" si="82"/>
        <v>0.99999999999999989</v>
      </c>
      <c r="J523" s="42">
        <v>2</v>
      </c>
      <c r="K523" s="43">
        <f t="shared" si="84"/>
        <v>0</v>
      </c>
      <c r="L523" s="43">
        <f t="shared" si="85"/>
        <v>0</v>
      </c>
      <c r="M523" s="43">
        <f t="shared" si="86"/>
        <v>0</v>
      </c>
      <c r="N523" s="57">
        <f t="shared" si="87"/>
        <v>237.80000000000004</v>
      </c>
      <c r="O523" s="57">
        <f t="shared" si="88"/>
        <v>237.8</v>
      </c>
      <c r="P523" s="57">
        <f t="shared" si="89"/>
        <v>0.99999999999999989</v>
      </c>
    </row>
    <row r="524" spans="2:16" ht="39.75" customHeight="1">
      <c r="B524" s="74" t="s">
        <v>862</v>
      </c>
      <c r="C524" s="11" t="s">
        <v>62</v>
      </c>
      <c r="D524" s="11" t="s">
        <v>41</v>
      </c>
      <c r="E524" s="11" t="s">
        <v>790</v>
      </c>
      <c r="F524" s="11"/>
      <c r="G524" s="203">
        <f>G525+G528+G530</f>
        <v>112.70000000000002</v>
      </c>
      <c r="H524" s="203">
        <v>112.6</v>
      </c>
      <c r="I524" s="207">
        <f t="shared" si="82"/>
        <v>0.99911268855368218</v>
      </c>
      <c r="J524" s="42"/>
      <c r="K524" s="43">
        <f t="shared" si="84"/>
        <v>0</v>
      </c>
      <c r="L524" s="43">
        <f t="shared" si="85"/>
        <v>0</v>
      </c>
      <c r="M524" s="43">
        <f t="shared" si="86"/>
        <v>0</v>
      </c>
      <c r="N524" s="57">
        <f t="shared" si="87"/>
        <v>0</v>
      </c>
      <c r="O524" s="57">
        <f t="shared" si="88"/>
        <v>0</v>
      </c>
      <c r="P524" s="57">
        <f t="shared" si="89"/>
        <v>0</v>
      </c>
    </row>
    <row r="525" spans="2:16" ht="39.75" customHeight="1">
      <c r="B525" s="15" t="s">
        <v>815</v>
      </c>
      <c r="C525" s="50" t="s">
        <v>62</v>
      </c>
      <c r="D525" s="50" t="s">
        <v>41</v>
      </c>
      <c r="E525" s="50" t="s">
        <v>791</v>
      </c>
      <c r="F525" s="50"/>
      <c r="G525" s="204">
        <f>G526+G527</f>
        <v>64.900000000000006</v>
      </c>
      <c r="H525" s="204">
        <v>64.900000000000006</v>
      </c>
      <c r="I525" s="212">
        <f t="shared" si="82"/>
        <v>1</v>
      </c>
      <c r="J525" s="42"/>
      <c r="K525" s="43">
        <f t="shared" si="84"/>
        <v>0</v>
      </c>
      <c r="L525" s="43">
        <f t="shared" si="85"/>
        <v>0</v>
      </c>
      <c r="M525" s="43">
        <f t="shared" si="86"/>
        <v>0</v>
      </c>
      <c r="N525" s="57">
        <f t="shared" si="87"/>
        <v>0</v>
      </c>
      <c r="O525" s="57">
        <f t="shared" si="88"/>
        <v>0</v>
      </c>
      <c r="P525" s="57">
        <f t="shared" si="89"/>
        <v>0</v>
      </c>
    </row>
    <row r="526" spans="2:16" ht="44.25" customHeight="1">
      <c r="B526" s="15" t="s">
        <v>17</v>
      </c>
      <c r="C526" s="50" t="s">
        <v>62</v>
      </c>
      <c r="D526" s="50" t="s">
        <v>41</v>
      </c>
      <c r="E526" s="50" t="s">
        <v>792</v>
      </c>
      <c r="F526" s="50" t="s">
        <v>18</v>
      </c>
      <c r="G526" s="204">
        <f>52+1.6+0.5</f>
        <v>54.1</v>
      </c>
      <c r="H526" s="204">
        <v>54.1</v>
      </c>
      <c r="I526" s="212">
        <f t="shared" si="82"/>
        <v>1</v>
      </c>
      <c r="J526" s="42">
        <v>2</v>
      </c>
      <c r="K526" s="43">
        <f t="shared" si="84"/>
        <v>0</v>
      </c>
      <c r="L526" s="43">
        <f t="shared" si="85"/>
        <v>0</v>
      </c>
      <c r="M526" s="43">
        <f t="shared" si="86"/>
        <v>0</v>
      </c>
      <c r="N526" s="57">
        <f t="shared" si="87"/>
        <v>54.1</v>
      </c>
      <c r="O526" s="57">
        <f t="shared" si="88"/>
        <v>54.1</v>
      </c>
      <c r="P526" s="57">
        <f t="shared" si="89"/>
        <v>1</v>
      </c>
    </row>
    <row r="527" spans="2:16" ht="27" customHeight="1">
      <c r="B527" s="15" t="s">
        <v>30</v>
      </c>
      <c r="C527" s="50" t="s">
        <v>62</v>
      </c>
      <c r="D527" s="50" t="s">
        <v>41</v>
      </c>
      <c r="E527" s="50" t="s">
        <v>792</v>
      </c>
      <c r="F527" s="50" t="s">
        <v>31</v>
      </c>
      <c r="G527" s="204">
        <f>10.4+0.4</f>
        <v>10.8</v>
      </c>
      <c r="H527" s="204">
        <v>10.8</v>
      </c>
      <c r="I527" s="212">
        <f t="shared" si="82"/>
        <v>1</v>
      </c>
      <c r="J527" s="42">
        <v>2</v>
      </c>
      <c r="K527" s="43">
        <f t="shared" si="84"/>
        <v>0</v>
      </c>
      <c r="L527" s="43">
        <f t="shared" si="85"/>
        <v>0</v>
      </c>
      <c r="M527" s="43">
        <f t="shared" si="86"/>
        <v>0</v>
      </c>
      <c r="N527" s="57">
        <f t="shared" si="87"/>
        <v>10.8</v>
      </c>
      <c r="O527" s="57">
        <f t="shared" si="88"/>
        <v>10.8</v>
      </c>
      <c r="P527" s="57">
        <f t="shared" si="89"/>
        <v>1</v>
      </c>
    </row>
    <row r="528" spans="2:16" ht="30" customHeight="1">
      <c r="B528" s="15" t="s">
        <v>789</v>
      </c>
      <c r="C528" s="50" t="s">
        <v>62</v>
      </c>
      <c r="D528" s="50" t="s">
        <v>41</v>
      </c>
      <c r="E528" s="50" t="s">
        <v>793</v>
      </c>
      <c r="F528" s="50"/>
      <c r="G528" s="204">
        <f>SUM(G529:G529)</f>
        <v>1</v>
      </c>
      <c r="H528" s="204">
        <v>1</v>
      </c>
      <c r="I528" s="212">
        <f t="shared" si="82"/>
        <v>1</v>
      </c>
      <c r="J528" s="42"/>
      <c r="K528" s="43">
        <f t="shared" si="84"/>
        <v>0</v>
      </c>
      <c r="L528" s="43">
        <f t="shared" si="85"/>
        <v>0</v>
      </c>
      <c r="M528" s="43">
        <f t="shared" si="86"/>
        <v>0</v>
      </c>
      <c r="N528" s="57">
        <f t="shared" si="87"/>
        <v>0</v>
      </c>
      <c r="O528" s="57">
        <f t="shared" si="88"/>
        <v>0</v>
      </c>
      <c r="P528" s="57">
        <f t="shared" si="89"/>
        <v>0</v>
      </c>
    </row>
    <row r="529" spans="2:16" ht="14.25" customHeight="1">
      <c r="B529" s="15" t="s">
        <v>19</v>
      </c>
      <c r="C529" s="50" t="s">
        <v>62</v>
      </c>
      <c r="D529" s="50" t="s">
        <v>41</v>
      </c>
      <c r="E529" s="50" t="s">
        <v>794</v>
      </c>
      <c r="F529" s="50" t="s">
        <v>20</v>
      </c>
      <c r="G529" s="204">
        <f>3-2</f>
        <v>1</v>
      </c>
      <c r="H529" s="204">
        <v>1</v>
      </c>
      <c r="I529" s="212">
        <f t="shared" si="82"/>
        <v>1</v>
      </c>
      <c r="J529" s="42">
        <v>2</v>
      </c>
      <c r="K529" s="43">
        <f t="shared" si="84"/>
        <v>0</v>
      </c>
      <c r="L529" s="43">
        <f t="shared" si="85"/>
        <v>0</v>
      </c>
      <c r="M529" s="43">
        <f t="shared" si="86"/>
        <v>0</v>
      </c>
      <c r="N529" s="57">
        <f t="shared" si="87"/>
        <v>1</v>
      </c>
      <c r="O529" s="57">
        <f t="shared" si="88"/>
        <v>1</v>
      </c>
      <c r="P529" s="57">
        <f t="shared" si="89"/>
        <v>1</v>
      </c>
    </row>
    <row r="530" spans="2:16" ht="29.25" customHeight="1">
      <c r="B530" s="15" t="s">
        <v>795</v>
      </c>
      <c r="C530" s="50" t="s">
        <v>62</v>
      </c>
      <c r="D530" s="50" t="s">
        <v>41</v>
      </c>
      <c r="E530" s="50" t="s">
        <v>796</v>
      </c>
      <c r="F530" s="50"/>
      <c r="G530" s="204">
        <f>SUM(G531:G534)</f>
        <v>46.800000000000011</v>
      </c>
      <c r="H530" s="204">
        <v>46.7</v>
      </c>
      <c r="I530" s="212">
        <f t="shared" si="82"/>
        <v>0.99786324786324765</v>
      </c>
      <c r="J530" s="42"/>
      <c r="K530" s="43">
        <f t="shared" si="84"/>
        <v>0</v>
      </c>
      <c r="L530" s="43">
        <f t="shared" si="85"/>
        <v>0</v>
      </c>
      <c r="M530" s="43">
        <f t="shared" si="86"/>
        <v>0</v>
      </c>
      <c r="N530" s="57">
        <f t="shared" si="87"/>
        <v>0</v>
      </c>
      <c r="O530" s="57">
        <f t="shared" si="88"/>
        <v>0</v>
      </c>
      <c r="P530" s="57">
        <f t="shared" si="89"/>
        <v>0</v>
      </c>
    </row>
    <row r="531" spans="2:16" ht="14.25" customHeight="1">
      <c r="B531" s="15" t="s">
        <v>19</v>
      </c>
      <c r="C531" s="50" t="s">
        <v>62</v>
      </c>
      <c r="D531" s="50" t="s">
        <v>41</v>
      </c>
      <c r="E531" s="50" t="s">
        <v>797</v>
      </c>
      <c r="F531" s="50" t="s">
        <v>20</v>
      </c>
      <c r="G531" s="204">
        <f>32.7+2.5-4+3.5</f>
        <v>34.700000000000003</v>
      </c>
      <c r="H531" s="204">
        <v>31.1</v>
      </c>
      <c r="I531" s="212">
        <f t="shared" si="82"/>
        <v>0.89625360230547546</v>
      </c>
      <c r="J531" s="42">
        <v>2</v>
      </c>
      <c r="K531" s="43">
        <f t="shared" si="84"/>
        <v>0</v>
      </c>
      <c r="L531" s="43">
        <f t="shared" si="85"/>
        <v>0</v>
      </c>
      <c r="M531" s="43">
        <f t="shared" si="86"/>
        <v>0</v>
      </c>
      <c r="N531" s="57">
        <f t="shared" si="87"/>
        <v>34.700000000000003</v>
      </c>
      <c r="O531" s="57">
        <f t="shared" si="88"/>
        <v>31.1</v>
      </c>
      <c r="P531" s="57">
        <f t="shared" si="89"/>
        <v>0.89625360230547546</v>
      </c>
    </row>
    <row r="532" spans="2:16" ht="14.25" customHeight="1">
      <c r="B532" s="15" t="s">
        <v>30</v>
      </c>
      <c r="C532" s="50" t="s">
        <v>62</v>
      </c>
      <c r="D532" s="50" t="s">
        <v>41</v>
      </c>
      <c r="E532" s="50" t="s">
        <v>797</v>
      </c>
      <c r="F532" s="50" t="s">
        <v>31</v>
      </c>
      <c r="G532" s="204">
        <v>0.7</v>
      </c>
      <c r="H532" s="204">
        <v>4.2</v>
      </c>
      <c r="I532" s="212">
        <f t="shared" si="82"/>
        <v>6.0000000000000009</v>
      </c>
      <c r="J532" s="42">
        <v>2</v>
      </c>
      <c r="K532" s="43">
        <f t="shared" si="84"/>
        <v>0</v>
      </c>
      <c r="L532" s="43">
        <f t="shared" si="85"/>
        <v>0</v>
      </c>
      <c r="M532" s="43">
        <f t="shared" si="86"/>
        <v>0</v>
      </c>
      <c r="N532" s="57">
        <f t="shared" si="87"/>
        <v>0.7</v>
      </c>
      <c r="O532" s="57">
        <f t="shared" si="88"/>
        <v>4.2</v>
      </c>
      <c r="P532" s="57">
        <f t="shared" si="89"/>
        <v>6.0000000000000009</v>
      </c>
    </row>
    <row r="533" spans="2:16" ht="14.25" customHeight="1">
      <c r="B533" s="15" t="s">
        <v>504</v>
      </c>
      <c r="C533" s="50" t="s">
        <v>62</v>
      </c>
      <c r="D533" s="50" t="s">
        <v>41</v>
      </c>
      <c r="E533" s="50" t="s">
        <v>798</v>
      </c>
      <c r="F533" s="50" t="s">
        <v>20</v>
      </c>
      <c r="G533" s="204">
        <f>111.7-102</f>
        <v>9.7000000000000028</v>
      </c>
      <c r="H533" s="204">
        <v>9.6999999999999993</v>
      </c>
      <c r="I533" s="212">
        <f t="shared" si="82"/>
        <v>0.99999999999999967</v>
      </c>
      <c r="J533" s="42">
        <v>1</v>
      </c>
      <c r="K533" s="43">
        <f t="shared" si="84"/>
        <v>9.7000000000000028</v>
      </c>
      <c r="L533" s="43">
        <f t="shared" si="85"/>
        <v>9.6999999999999993</v>
      </c>
      <c r="M533" s="43">
        <f t="shared" si="86"/>
        <v>0.99999999999999967</v>
      </c>
      <c r="N533" s="57">
        <f t="shared" si="87"/>
        <v>0</v>
      </c>
      <c r="O533" s="57">
        <f t="shared" si="88"/>
        <v>0</v>
      </c>
      <c r="P533" s="57">
        <f t="shared" si="89"/>
        <v>0</v>
      </c>
    </row>
    <row r="534" spans="2:16" ht="14.25" customHeight="1">
      <c r="B534" s="15" t="s">
        <v>554</v>
      </c>
      <c r="C534" s="50" t="s">
        <v>62</v>
      </c>
      <c r="D534" s="50" t="s">
        <v>41</v>
      </c>
      <c r="E534" s="50" t="s">
        <v>798</v>
      </c>
      <c r="F534" s="50" t="s">
        <v>31</v>
      </c>
      <c r="G534" s="204">
        <f>1.7</f>
        <v>1.7</v>
      </c>
      <c r="H534" s="204">
        <v>1.7</v>
      </c>
      <c r="I534" s="212">
        <f t="shared" si="82"/>
        <v>1</v>
      </c>
      <c r="J534" s="42">
        <v>1</v>
      </c>
      <c r="K534" s="43">
        <f t="shared" si="84"/>
        <v>1.7</v>
      </c>
      <c r="L534" s="43">
        <f t="shared" si="85"/>
        <v>1.7</v>
      </c>
      <c r="M534" s="43">
        <f t="shared" si="86"/>
        <v>1</v>
      </c>
      <c r="N534" s="57">
        <f t="shared" si="87"/>
        <v>0</v>
      </c>
      <c r="O534" s="57">
        <f t="shared" si="88"/>
        <v>0</v>
      </c>
      <c r="P534" s="57">
        <f t="shared" si="89"/>
        <v>0</v>
      </c>
    </row>
    <row r="535" spans="2:16" ht="41.25" customHeight="1">
      <c r="B535" s="14" t="s">
        <v>602</v>
      </c>
      <c r="C535" s="11" t="s">
        <v>62</v>
      </c>
      <c r="D535" s="11" t="s">
        <v>41</v>
      </c>
      <c r="E535" s="11" t="s">
        <v>603</v>
      </c>
      <c r="F535" s="11"/>
      <c r="G535" s="203">
        <f>G536</f>
        <v>24.2</v>
      </c>
      <c r="H535" s="203">
        <v>12.6</v>
      </c>
      <c r="I535" s="207">
        <f t="shared" si="82"/>
        <v>0.52066115702479343</v>
      </c>
      <c r="J535" s="42"/>
      <c r="K535" s="43">
        <f t="shared" si="84"/>
        <v>0</v>
      </c>
      <c r="L535" s="43">
        <f t="shared" si="85"/>
        <v>0</v>
      </c>
      <c r="M535" s="43">
        <f t="shared" si="86"/>
        <v>0</v>
      </c>
      <c r="N535" s="57">
        <f t="shared" si="87"/>
        <v>0</v>
      </c>
      <c r="O535" s="57">
        <f t="shared" si="88"/>
        <v>0</v>
      </c>
      <c r="P535" s="57">
        <f t="shared" si="89"/>
        <v>0</v>
      </c>
    </row>
    <row r="536" spans="2:16" ht="29.25" customHeight="1">
      <c r="B536" s="15" t="s">
        <v>30</v>
      </c>
      <c r="C536" s="50" t="s">
        <v>62</v>
      </c>
      <c r="D536" s="50" t="s">
        <v>41</v>
      </c>
      <c r="E536" s="50" t="s">
        <v>603</v>
      </c>
      <c r="F536" s="50" t="s">
        <v>31</v>
      </c>
      <c r="G536" s="204">
        <v>24.2</v>
      </c>
      <c r="H536" s="204">
        <v>12.6</v>
      </c>
      <c r="I536" s="212">
        <f t="shared" si="82"/>
        <v>0.52066115702479343</v>
      </c>
      <c r="J536" s="42">
        <v>2</v>
      </c>
      <c r="K536" s="43">
        <f t="shared" si="84"/>
        <v>0</v>
      </c>
      <c r="L536" s="43">
        <f t="shared" si="85"/>
        <v>0</v>
      </c>
      <c r="M536" s="43">
        <f t="shared" si="86"/>
        <v>0</v>
      </c>
      <c r="N536" s="57">
        <f t="shared" si="87"/>
        <v>24.2</v>
      </c>
      <c r="O536" s="57">
        <f t="shared" si="88"/>
        <v>12.6</v>
      </c>
      <c r="P536" s="57">
        <f t="shared" si="89"/>
        <v>0.52066115702479343</v>
      </c>
    </row>
    <row r="537" spans="2:16" ht="25.5" hidden="1">
      <c r="B537" s="15" t="s">
        <v>194</v>
      </c>
      <c r="C537" s="50" t="s">
        <v>62</v>
      </c>
      <c r="D537" s="50" t="s">
        <v>41</v>
      </c>
      <c r="E537" s="50" t="s">
        <v>217</v>
      </c>
      <c r="F537" s="50"/>
      <c r="G537" s="204">
        <f>G538+G540+G542+G539+G541+G543</f>
        <v>0</v>
      </c>
      <c r="H537" s="204">
        <v>0</v>
      </c>
      <c r="I537" s="207" t="e">
        <f t="shared" si="82"/>
        <v>#DIV/0!</v>
      </c>
      <c r="J537" s="42"/>
      <c r="K537" s="43">
        <f t="shared" si="84"/>
        <v>0</v>
      </c>
      <c r="L537" s="43">
        <f t="shared" si="85"/>
        <v>0</v>
      </c>
      <c r="M537" s="43">
        <f t="shared" si="86"/>
        <v>0</v>
      </c>
      <c r="N537" s="57">
        <f t="shared" si="87"/>
        <v>0</v>
      </c>
      <c r="O537" s="57">
        <f t="shared" si="88"/>
        <v>0</v>
      </c>
      <c r="P537" s="57">
        <f t="shared" si="89"/>
        <v>0</v>
      </c>
    </row>
    <row r="538" spans="2:16" ht="38.25" hidden="1">
      <c r="B538" s="15" t="s">
        <v>17</v>
      </c>
      <c r="C538" s="50" t="s">
        <v>62</v>
      </c>
      <c r="D538" s="50" t="s">
        <v>41</v>
      </c>
      <c r="E538" s="50" t="s">
        <v>217</v>
      </c>
      <c r="F538" s="50" t="s">
        <v>18</v>
      </c>
      <c r="G538" s="204">
        <v>0</v>
      </c>
      <c r="H538" s="204"/>
      <c r="I538" s="207" t="e">
        <f t="shared" si="82"/>
        <v>#DIV/0!</v>
      </c>
      <c r="J538" s="42">
        <v>2</v>
      </c>
      <c r="K538" s="43">
        <f t="shared" si="84"/>
        <v>0</v>
      </c>
      <c r="L538" s="43">
        <f t="shared" si="85"/>
        <v>0</v>
      </c>
      <c r="M538" s="43">
        <f t="shared" si="86"/>
        <v>0</v>
      </c>
      <c r="N538" s="57">
        <f t="shared" si="87"/>
        <v>0</v>
      </c>
      <c r="O538" s="57">
        <f t="shared" si="88"/>
        <v>0</v>
      </c>
      <c r="P538" s="57" t="e">
        <f t="shared" si="89"/>
        <v>#DIV/0!</v>
      </c>
    </row>
    <row r="539" spans="2:16" ht="39.75" hidden="1" customHeight="1">
      <c r="B539" s="15" t="s">
        <v>676</v>
      </c>
      <c r="C539" s="50" t="s">
        <v>62</v>
      </c>
      <c r="D539" s="50" t="s">
        <v>41</v>
      </c>
      <c r="E539" s="50" t="s">
        <v>217</v>
      </c>
      <c r="F539" s="50" t="s">
        <v>18</v>
      </c>
      <c r="G539" s="204">
        <v>0</v>
      </c>
      <c r="H539" s="204">
        <v>0</v>
      </c>
      <c r="I539" s="207" t="e">
        <f t="shared" ref="I539:I602" si="90">H539/G539</f>
        <v>#DIV/0!</v>
      </c>
      <c r="J539" s="42">
        <v>2</v>
      </c>
      <c r="K539" s="43">
        <f t="shared" si="84"/>
        <v>0</v>
      </c>
      <c r="L539" s="43">
        <f t="shared" si="85"/>
        <v>0</v>
      </c>
      <c r="M539" s="43">
        <f t="shared" si="86"/>
        <v>0</v>
      </c>
      <c r="N539" s="57">
        <f t="shared" si="87"/>
        <v>0</v>
      </c>
      <c r="O539" s="57">
        <f t="shared" si="88"/>
        <v>0</v>
      </c>
      <c r="P539" s="57" t="e">
        <f t="shared" si="89"/>
        <v>#DIV/0!</v>
      </c>
    </row>
    <row r="540" spans="2:16" hidden="1">
      <c r="B540" s="15" t="s">
        <v>19</v>
      </c>
      <c r="C540" s="50" t="s">
        <v>62</v>
      </c>
      <c r="D540" s="50" t="s">
        <v>41</v>
      </c>
      <c r="E540" s="50" t="s">
        <v>217</v>
      </c>
      <c r="F540" s="50" t="s">
        <v>20</v>
      </c>
      <c r="G540" s="204">
        <v>0</v>
      </c>
      <c r="H540" s="204"/>
      <c r="I540" s="207" t="e">
        <f t="shared" si="90"/>
        <v>#DIV/0!</v>
      </c>
      <c r="J540" s="42">
        <v>2</v>
      </c>
      <c r="K540" s="43">
        <f t="shared" si="84"/>
        <v>0</v>
      </c>
      <c r="L540" s="43">
        <f t="shared" si="85"/>
        <v>0</v>
      </c>
      <c r="M540" s="43">
        <f t="shared" si="86"/>
        <v>0</v>
      </c>
      <c r="N540" s="57">
        <f t="shared" si="87"/>
        <v>0</v>
      </c>
      <c r="O540" s="57">
        <f t="shared" si="88"/>
        <v>0</v>
      </c>
      <c r="P540" s="57" t="e">
        <f t="shared" si="89"/>
        <v>#DIV/0!</v>
      </c>
    </row>
    <row r="541" spans="2:16" ht="25.5" hidden="1">
      <c r="B541" s="15" t="s">
        <v>509</v>
      </c>
      <c r="C541" s="50" t="s">
        <v>62</v>
      </c>
      <c r="D541" s="50" t="s">
        <v>41</v>
      </c>
      <c r="E541" s="50" t="s">
        <v>217</v>
      </c>
      <c r="F541" s="50" t="s">
        <v>20</v>
      </c>
      <c r="G541" s="204">
        <v>0</v>
      </c>
      <c r="H541" s="204">
        <v>0</v>
      </c>
      <c r="I541" s="207" t="e">
        <f t="shared" si="90"/>
        <v>#DIV/0!</v>
      </c>
      <c r="J541" s="42">
        <v>2</v>
      </c>
      <c r="K541" s="43">
        <f t="shared" si="84"/>
        <v>0</v>
      </c>
      <c r="L541" s="43">
        <f t="shared" si="85"/>
        <v>0</v>
      </c>
      <c r="M541" s="43">
        <f t="shared" si="86"/>
        <v>0</v>
      </c>
      <c r="N541" s="57">
        <f t="shared" si="87"/>
        <v>0</v>
      </c>
      <c r="O541" s="57">
        <f t="shared" si="88"/>
        <v>0</v>
      </c>
      <c r="P541" s="57" t="e">
        <f t="shared" si="89"/>
        <v>#DIV/0!</v>
      </c>
    </row>
    <row r="542" spans="2:16" ht="25.5" hidden="1">
      <c r="B542" s="15" t="s">
        <v>30</v>
      </c>
      <c r="C542" s="50" t="s">
        <v>62</v>
      </c>
      <c r="D542" s="50" t="s">
        <v>41</v>
      </c>
      <c r="E542" s="50" t="s">
        <v>217</v>
      </c>
      <c r="F542" s="50" t="s">
        <v>31</v>
      </c>
      <c r="G542" s="204">
        <v>0</v>
      </c>
      <c r="H542" s="204">
        <v>0</v>
      </c>
      <c r="I542" s="207" t="e">
        <f t="shared" si="90"/>
        <v>#DIV/0!</v>
      </c>
      <c r="J542" s="42">
        <v>2</v>
      </c>
      <c r="K542" s="43">
        <f t="shared" si="84"/>
        <v>0</v>
      </c>
      <c r="L542" s="43">
        <f t="shared" si="85"/>
        <v>0</v>
      </c>
      <c r="M542" s="43">
        <f t="shared" si="86"/>
        <v>0</v>
      </c>
      <c r="N542" s="57">
        <f t="shared" si="87"/>
        <v>0</v>
      </c>
      <c r="O542" s="57">
        <f t="shared" si="88"/>
        <v>0</v>
      </c>
      <c r="P542" s="57" t="e">
        <f t="shared" si="89"/>
        <v>#DIV/0!</v>
      </c>
    </row>
    <row r="543" spans="2:16" ht="25.5" hidden="1">
      <c r="B543" s="15" t="s">
        <v>559</v>
      </c>
      <c r="C543" s="50" t="s">
        <v>62</v>
      </c>
      <c r="D543" s="50" t="s">
        <v>41</v>
      </c>
      <c r="E543" s="50" t="s">
        <v>217</v>
      </c>
      <c r="F543" s="50" t="s">
        <v>31</v>
      </c>
      <c r="G543" s="204">
        <v>0</v>
      </c>
      <c r="H543" s="204">
        <v>0</v>
      </c>
      <c r="I543" s="207" t="e">
        <f t="shared" si="90"/>
        <v>#DIV/0!</v>
      </c>
      <c r="J543" s="42">
        <v>2</v>
      </c>
      <c r="K543" s="43">
        <f t="shared" si="84"/>
        <v>0</v>
      </c>
      <c r="L543" s="43">
        <f t="shared" si="85"/>
        <v>0</v>
      </c>
      <c r="M543" s="43">
        <f t="shared" si="86"/>
        <v>0</v>
      </c>
      <c r="N543" s="57">
        <f t="shared" si="87"/>
        <v>0</v>
      </c>
      <c r="O543" s="57">
        <f t="shared" si="88"/>
        <v>0</v>
      </c>
      <c r="P543" s="57" t="e">
        <f t="shared" si="89"/>
        <v>#DIV/0!</v>
      </c>
    </row>
    <row r="544" spans="2:16" ht="25.5" hidden="1">
      <c r="B544" s="15" t="s">
        <v>618</v>
      </c>
      <c r="C544" s="50" t="s">
        <v>62</v>
      </c>
      <c r="D544" s="50" t="s">
        <v>41</v>
      </c>
      <c r="E544" s="50" t="s">
        <v>617</v>
      </c>
      <c r="F544" s="50"/>
      <c r="G544" s="204">
        <f>G545+G546</f>
        <v>0</v>
      </c>
      <c r="H544" s="204"/>
      <c r="I544" s="207" t="e">
        <f t="shared" si="90"/>
        <v>#DIV/0!</v>
      </c>
      <c r="J544" s="42"/>
      <c r="K544" s="43">
        <f t="shared" si="84"/>
        <v>0</v>
      </c>
      <c r="L544" s="43">
        <f t="shared" si="85"/>
        <v>0</v>
      </c>
      <c r="M544" s="43">
        <f t="shared" si="86"/>
        <v>0</v>
      </c>
      <c r="N544" s="57">
        <f t="shared" si="87"/>
        <v>0</v>
      </c>
      <c r="O544" s="57">
        <f t="shared" si="88"/>
        <v>0</v>
      </c>
      <c r="P544" s="57">
        <f t="shared" si="89"/>
        <v>0</v>
      </c>
    </row>
    <row r="545" spans="2:16" hidden="1">
      <c r="B545" s="15" t="s">
        <v>19</v>
      </c>
      <c r="C545" s="50" t="s">
        <v>62</v>
      </c>
      <c r="D545" s="50" t="s">
        <v>41</v>
      </c>
      <c r="E545" s="50" t="s">
        <v>617</v>
      </c>
      <c r="F545" s="50" t="s">
        <v>20</v>
      </c>
      <c r="G545" s="204">
        <v>0</v>
      </c>
      <c r="H545" s="204"/>
      <c r="I545" s="207" t="e">
        <f t="shared" si="90"/>
        <v>#DIV/0!</v>
      </c>
      <c r="J545" s="42">
        <v>2</v>
      </c>
      <c r="K545" s="43">
        <f t="shared" si="84"/>
        <v>0</v>
      </c>
      <c r="L545" s="43">
        <f t="shared" si="85"/>
        <v>0</v>
      </c>
      <c r="M545" s="43">
        <f t="shared" si="86"/>
        <v>0</v>
      </c>
      <c r="N545" s="57">
        <f t="shared" si="87"/>
        <v>0</v>
      </c>
      <c r="O545" s="57">
        <f t="shared" si="88"/>
        <v>0</v>
      </c>
      <c r="P545" s="57" t="e">
        <f t="shared" si="89"/>
        <v>#DIV/0!</v>
      </c>
    </row>
    <row r="546" spans="2:16" ht="25.5" hidden="1">
      <c r="B546" s="15" t="s">
        <v>30</v>
      </c>
      <c r="C546" s="50" t="s">
        <v>62</v>
      </c>
      <c r="D546" s="50" t="s">
        <v>41</v>
      </c>
      <c r="E546" s="50" t="s">
        <v>617</v>
      </c>
      <c r="F546" s="50" t="s">
        <v>31</v>
      </c>
      <c r="G546" s="204">
        <v>0</v>
      </c>
      <c r="H546" s="204"/>
      <c r="I546" s="207" t="e">
        <f t="shared" si="90"/>
        <v>#DIV/0!</v>
      </c>
      <c r="J546" s="42">
        <v>2</v>
      </c>
      <c r="K546" s="43">
        <f t="shared" si="84"/>
        <v>0</v>
      </c>
      <c r="L546" s="43">
        <f t="shared" si="85"/>
        <v>0</v>
      </c>
      <c r="M546" s="43">
        <f t="shared" si="86"/>
        <v>0</v>
      </c>
      <c r="N546" s="57">
        <f t="shared" si="87"/>
        <v>0</v>
      </c>
      <c r="O546" s="57">
        <f t="shared" si="88"/>
        <v>0</v>
      </c>
      <c r="P546" s="57" t="e">
        <f t="shared" si="89"/>
        <v>#DIV/0!</v>
      </c>
    </row>
    <row r="547" spans="2:16">
      <c r="B547" s="14" t="s">
        <v>100</v>
      </c>
      <c r="C547" s="11" t="s">
        <v>62</v>
      </c>
      <c r="D547" s="11" t="s">
        <v>41</v>
      </c>
      <c r="E547" s="11" t="s">
        <v>151</v>
      </c>
      <c r="F547" s="11"/>
      <c r="G547" s="203">
        <f>G548</f>
        <v>2282</v>
      </c>
      <c r="H547" s="119">
        <v>2258.9</v>
      </c>
      <c r="I547" s="207">
        <f t="shared" si="90"/>
        <v>0.98987730061349699</v>
      </c>
      <c r="J547" s="42"/>
      <c r="K547" s="43">
        <f t="shared" si="84"/>
        <v>0</v>
      </c>
      <c r="L547" s="43">
        <f t="shared" si="85"/>
        <v>0</v>
      </c>
      <c r="M547" s="43">
        <f t="shared" si="86"/>
        <v>0</v>
      </c>
      <c r="N547" s="57">
        <f t="shared" si="87"/>
        <v>0</v>
      </c>
      <c r="O547" s="57">
        <f t="shared" si="88"/>
        <v>0</v>
      </c>
      <c r="P547" s="57">
        <f t="shared" si="89"/>
        <v>0</v>
      </c>
    </row>
    <row r="548" spans="2:16">
      <c r="B548" s="15" t="s">
        <v>21</v>
      </c>
      <c r="C548" s="50" t="s">
        <v>62</v>
      </c>
      <c r="D548" s="50" t="s">
        <v>41</v>
      </c>
      <c r="E548" s="50" t="s">
        <v>151</v>
      </c>
      <c r="F548" s="50" t="s">
        <v>22</v>
      </c>
      <c r="G548" s="204">
        <f>1010+5+2+220+520+525</f>
        <v>2282</v>
      </c>
      <c r="H548" s="204">
        <v>2258.9</v>
      </c>
      <c r="I548" s="212">
        <f t="shared" si="90"/>
        <v>0.98987730061349699</v>
      </c>
      <c r="J548" s="42">
        <v>1</v>
      </c>
      <c r="K548" s="43">
        <f t="shared" si="84"/>
        <v>2282</v>
      </c>
      <c r="L548" s="43">
        <f t="shared" si="85"/>
        <v>2258.9</v>
      </c>
      <c r="M548" s="43">
        <f t="shared" si="86"/>
        <v>0.98987730061349699</v>
      </c>
      <c r="N548" s="57">
        <f t="shared" si="87"/>
        <v>0</v>
      </c>
      <c r="O548" s="57">
        <f t="shared" si="88"/>
        <v>0</v>
      </c>
      <c r="P548" s="57">
        <f t="shared" si="89"/>
        <v>0</v>
      </c>
    </row>
    <row r="549" spans="2:16" ht="25.5">
      <c r="B549" s="14" t="s">
        <v>325</v>
      </c>
      <c r="C549" s="50" t="s">
        <v>62</v>
      </c>
      <c r="D549" s="50" t="s">
        <v>41</v>
      </c>
      <c r="E549" s="11" t="s">
        <v>328</v>
      </c>
      <c r="F549" s="50"/>
      <c r="G549" s="203">
        <f>G550+G554+G557</f>
        <v>9705.9</v>
      </c>
      <c r="H549" s="203">
        <v>8893.5</v>
      </c>
      <c r="I549" s="207">
        <f t="shared" si="90"/>
        <v>0.91629833400302907</v>
      </c>
      <c r="J549" s="42"/>
      <c r="K549" s="43">
        <f t="shared" si="84"/>
        <v>0</v>
      </c>
      <c r="L549" s="43">
        <f t="shared" si="85"/>
        <v>0</v>
      </c>
      <c r="M549" s="43">
        <f t="shared" si="86"/>
        <v>0</v>
      </c>
      <c r="N549" s="57">
        <f t="shared" si="87"/>
        <v>0</v>
      </c>
      <c r="O549" s="57">
        <f t="shared" si="88"/>
        <v>0</v>
      </c>
      <c r="P549" s="57">
        <f t="shared" si="89"/>
        <v>0</v>
      </c>
    </row>
    <row r="550" spans="2:16" ht="25.5">
      <c r="B550" s="15" t="s">
        <v>206</v>
      </c>
      <c r="C550" s="50" t="s">
        <v>62</v>
      </c>
      <c r="D550" s="50" t="s">
        <v>41</v>
      </c>
      <c r="E550" s="11" t="s">
        <v>326</v>
      </c>
      <c r="F550" s="50"/>
      <c r="G550" s="203">
        <f>G551+G553+G552</f>
        <v>7255.7</v>
      </c>
      <c r="H550" s="203">
        <v>6623.3</v>
      </c>
      <c r="I550" s="207">
        <f t="shared" si="90"/>
        <v>0.91284093884807815</v>
      </c>
      <c r="J550" s="42"/>
      <c r="K550" s="43">
        <f t="shared" si="84"/>
        <v>0</v>
      </c>
      <c r="L550" s="43">
        <f t="shared" si="85"/>
        <v>0</v>
      </c>
      <c r="M550" s="43">
        <f t="shared" si="86"/>
        <v>0</v>
      </c>
      <c r="N550" s="57">
        <f t="shared" si="87"/>
        <v>0</v>
      </c>
      <c r="O550" s="57">
        <f t="shared" si="88"/>
        <v>0</v>
      </c>
      <c r="P550" s="57">
        <f t="shared" si="89"/>
        <v>0</v>
      </c>
    </row>
    <row r="551" spans="2:16" ht="38.25">
      <c r="B551" s="15" t="s">
        <v>17</v>
      </c>
      <c r="C551" s="50" t="s">
        <v>62</v>
      </c>
      <c r="D551" s="50" t="s">
        <v>41</v>
      </c>
      <c r="E551" s="50" t="s">
        <v>326</v>
      </c>
      <c r="F551" s="50" t="s">
        <v>18</v>
      </c>
      <c r="G551" s="117">
        <v>5226</v>
      </c>
      <c r="H551" s="117">
        <v>4785.1000000000004</v>
      </c>
      <c r="I551" s="212">
        <f t="shared" si="90"/>
        <v>0.91563337160352087</v>
      </c>
      <c r="J551" s="42">
        <v>2</v>
      </c>
      <c r="K551" s="43">
        <f t="shared" si="84"/>
        <v>0</v>
      </c>
      <c r="L551" s="43">
        <f t="shared" si="85"/>
        <v>0</v>
      </c>
      <c r="M551" s="43">
        <f t="shared" si="86"/>
        <v>0</v>
      </c>
      <c r="N551" s="57">
        <f t="shared" si="87"/>
        <v>5226</v>
      </c>
      <c r="O551" s="57">
        <f t="shared" si="88"/>
        <v>4785.1000000000004</v>
      </c>
      <c r="P551" s="57">
        <f t="shared" si="89"/>
        <v>0.91563337160352087</v>
      </c>
    </row>
    <row r="552" spans="2:16" ht="25.5" hidden="1">
      <c r="B552" s="15" t="s">
        <v>566</v>
      </c>
      <c r="C552" s="50" t="s">
        <v>62</v>
      </c>
      <c r="D552" s="50" t="s">
        <v>41</v>
      </c>
      <c r="E552" s="50" t="s">
        <v>326</v>
      </c>
      <c r="F552" s="50" t="s">
        <v>26</v>
      </c>
      <c r="G552" s="117">
        <f>40-40</f>
        <v>0</v>
      </c>
      <c r="H552" s="117">
        <v>0</v>
      </c>
      <c r="I552" s="212" t="e">
        <f t="shared" si="90"/>
        <v>#DIV/0!</v>
      </c>
      <c r="J552" s="42"/>
      <c r="K552" s="43"/>
      <c r="L552" s="43"/>
      <c r="M552" s="43"/>
      <c r="N552" s="57"/>
      <c r="O552" s="57"/>
      <c r="P552" s="57"/>
    </row>
    <row r="553" spans="2:16" ht="25.5">
      <c r="B553" s="15" t="s">
        <v>30</v>
      </c>
      <c r="C553" s="50" t="s">
        <v>62</v>
      </c>
      <c r="D553" s="50" t="s">
        <v>41</v>
      </c>
      <c r="E553" s="50" t="s">
        <v>326</v>
      </c>
      <c r="F553" s="50" t="s">
        <v>31</v>
      </c>
      <c r="G553" s="117">
        <v>2029.7</v>
      </c>
      <c r="H553" s="117">
        <v>1838.2</v>
      </c>
      <c r="I553" s="212">
        <f t="shared" si="90"/>
        <v>0.90565108144060702</v>
      </c>
      <c r="J553" s="42">
        <v>2</v>
      </c>
      <c r="K553" s="43">
        <f t="shared" si="84"/>
        <v>0</v>
      </c>
      <c r="L553" s="43">
        <f t="shared" si="85"/>
        <v>0</v>
      </c>
      <c r="M553" s="43">
        <f t="shared" si="86"/>
        <v>0</v>
      </c>
      <c r="N553" s="57">
        <f t="shared" si="87"/>
        <v>2029.7</v>
      </c>
      <c r="O553" s="57">
        <f t="shared" si="88"/>
        <v>1838.2</v>
      </c>
      <c r="P553" s="57">
        <f t="shared" si="89"/>
        <v>0.90565108144060702</v>
      </c>
    </row>
    <row r="554" spans="2:16" ht="25.5">
      <c r="B554" s="15" t="s">
        <v>368</v>
      </c>
      <c r="C554" s="50" t="s">
        <v>62</v>
      </c>
      <c r="D554" s="50" t="s">
        <v>41</v>
      </c>
      <c r="E554" s="11" t="s">
        <v>327</v>
      </c>
      <c r="F554" s="50"/>
      <c r="G554" s="203">
        <f>G555+G556</f>
        <v>2292.3000000000002</v>
      </c>
      <c r="H554" s="203">
        <v>2112.3000000000002</v>
      </c>
      <c r="I554" s="207">
        <f t="shared" si="90"/>
        <v>0.92147624656458582</v>
      </c>
      <c r="J554" s="42"/>
      <c r="K554" s="43">
        <f t="shared" si="84"/>
        <v>0</v>
      </c>
      <c r="L554" s="43">
        <f t="shared" si="85"/>
        <v>0</v>
      </c>
      <c r="M554" s="43">
        <f t="shared" si="86"/>
        <v>0</v>
      </c>
      <c r="N554" s="57">
        <f t="shared" si="87"/>
        <v>0</v>
      </c>
      <c r="O554" s="57">
        <f t="shared" si="88"/>
        <v>0</v>
      </c>
      <c r="P554" s="57">
        <f t="shared" si="89"/>
        <v>0</v>
      </c>
    </row>
    <row r="555" spans="2:16" ht="38.25">
      <c r="B555" s="15" t="s">
        <v>17</v>
      </c>
      <c r="C555" s="50" t="s">
        <v>62</v>
      </c>
      <c r="D555" s="50" t="s">
        <v>41</v>
      </c>
      <c r="E555" s="50" t="s">
        <v>327</v>
      </c>
      <c r="F555" s="50" t="s">
        <v>18</v>
      </c>
      <c r="G555" s="117">
        <f>1233.4+245.9+74.9-28.5+316.8+22.4-213.6</f>
        <v>1651.3000000000004</v>
      </c>
      <c r="H555" s="117">
        <v>1563.9</v>
      </c>
      <c r="I555" s="212">
        <f t="shared" si="90"/>
        <v>0.94707200387573409</v>
      </c>
      <c r="J555" s="42">
        <v>2</v>
      </c>
      <c r="K555" s="43">
        <f t="shared" si="84"/>
        <v>0</v>
      </c>
      <c r="L555" s="43">
        <f t="shared" si="85"/>
        <v>0</v>
      </c>
      <c r="M555" s="43">
        <f t="shared" si="86"/>
        <v>0</v>
      </c>
      <c r="N555" s="57">
        <f t="shared" si="87"/>
        <v>1651.3000000000004</v>
      </c>
      <c r="O555" s="57">
        <f t="shared" si="88"/>
        <v>1563.9</v>
      </c>
      <c r="P555" s="57">
        <f t="shared" si="89"/>
        <v>0.94707200387573409</v>
      </c>
    </row>
    <row r="556" spans="2:16" ht="25.5">
      <c r="B556" s="15" t="s">
        <v>30</v>
      </c>
      <c r="C556" s="50" t="s">
        <v>62</v>
      </c>
      <c r="D556" s="50" t="s">
        <v>41</v>
      </c>
      <c r="E556" s="50" t="s">
        <v>327</v>
      </c>
      <c r="F556" s="50" t="s">
        <v>31</v>
      </c>
      <c r="G556" s="117">
        <f>922.8-320.8-11+100-50</f>
        <v>641</v>
      </c>
      <c r="H556" s="117">
        <v>548.4</v>
      </c>
      <c r="I556" s="212">
        <f t="shared" si="90"/>
        <v>0.85553822152886116</v>
      </c>
      <c r="J556" s="42">
        <v>2</v>
      </c>
      <c r="K556" s="43">
        <f t="shared" si="84"/>
        <v>0</v>
      </c>
      <c r="L556" s="43">
        <f t="shared" si="85"/>
        <v>0</v>
      </c>
      <c r="M556" s="43">
        <f t="shared" si="86"/>
        <v>0</v>
      </c>
      <c r="N556" s="57">
        <f t="shared" si="87"/>
        <v>641</v>
      </c>
      <c r="O556" s="57">
        <f t="shared" si="88"/>
        <v>548.4</v>
      </c>
      <c r="P556" s="57">
        <f t="shared" si="89"/>
        <v>0.85553822152886116</v>
      </c>
    </row>
    <row r="557" spans="2:16" ht="25.5">
      <c r="B557" s="15" t="s">
        <v>369</v>
      </c>
      <c r="C557" s="50" t="s">
        <v>62</v>
      </c>
      <c r="D557" s="50" t="s">
        <v>41</v>
      </c>
      <c r="E557" s="11" t="s">
        <v>329</v>
      </c>
      <c r="F557" s="11"/>
      <c r="G557" s="203">
        <f>G558+G559</f>
        <v>157.9</v>
      </c>
      <c r="H557" s="203">
        <v>157.9</v>
      </c>
      <c r="I557" s="207">
        <f t="shared" si="90"/>
        <v>1</v>
      </c>
      <c r="J557" s="42"/>
      <c r="K557" s="43">
        <f t="shared" si="84"/>
        <v>0</v>
      </c>
      <c r="L557" s="43">
        <f t="shared" si="85"/>
        <v>0</v>
      </c>
      <c r="M557" s="43">
        <f t="shared" si="86"/>
        <v>0</v>
      </c>
      <c r="N557" s="57">
        <f t="shared" si="87"/>
        <v>0</v>
      </c>
      <c r="O557" s="57">
        <f t="shared" si="88"/>
        <v>0</v>
      </c>
      <c r="P557" s="57">
        <f t="shared" si="89"/>
        <v>0</v>
      </c>
    </row>
    <row r="558" spans="2:16">
      <c r="B558" s="15" t="s">
        <v>19</v>
      </c>
      <c r="C558" s="50" t="s">
        <v>62</v>
      </c>
      <c r="D558" s="50" t="s">
        <v>41</v>
      </c>
      <c r="E558" s="50" t="s">
        <v>329</v>
      </c>
      <c r="F558" s="50" t="s">
        <v>20</v>
      </c>
      <c r="G558" s="117">
        <f>50.2-50.2+113.9</f>
        <v>113.9</v>
      </c>
      <c r="H558" s="117">
        <v>113.9</v>
      </c>
      <c r="I558" s="212">
        <f t="shared" si="90"/>
        <v>1</v>
      </c>
      <c r="J558" s="42">
        <v>2</v>
      </c>
      <c r="K558" s="43">
        <f t="shared" ref="K558:K628" si="91">SUMIF(J558,1,G558)</f>
        <v>0</v>
      </c>
      <c r="L558" s="43">
        <f t="shared" ref="L558:L628" si="92">SUMIF(J558,1,H558)</f>
        <v>0</v>
      </c>
      <c r="M558" s="43">
        <f t="shared" ref="M558:M628" si="93">SUMIF(J558,1,I558)</f>
        <v>0</v>
      </c>
      <c r="N558" s="57">
        <f t="shared" ref="N558:N628" si="94">SUMIF(J558,2,G558)</f>
        <v>113.9</v>
      </c>
      <c r="O558" s="57">
        <f t="shared" ref="O558:O628" si="95">SUMIF(J558,2,H558)</f>
        <v>113.9</v>
      </c>
      <c r="P558" s="57">
        <f t="shared" ref="P558:P628" si="96">SUMIF(J558,2,I558)</f>
        <v>1</v>
      </c>
    </row>
    <row r="559" spans="2:16" ht="25.5">
      <c r="B559" s="15" t="s">
        <v>30</v>
      </c>
      <c r="C559" s="50" t="s">
        <v>62</v>
      </c>
      <c r="D559" s="50" t="s">
        <v>41</v>
      </c>
      <c r="E559" s="50" t="s">
        <v>329</v>
      </c>
      <c r="F559" s="50" t="s">
        <v>31</v>
      </c>
      <c r="G559" s="117">
        <v>44</v>
      </c>
      <c r="H559" s="117">
        <v>44</v>
      </c>
      <c r="I559" s="212">
        <f t="shared" si="90"/>
        <v>1</v>
      </c>
      <c r="J559" s="42">
        <v>2</v>
      </c>
      <c r="K559" s="43">
        <f t="shared" si="91"/>
        <v>0</v>
      </c>
      <c r="L559" s="43">
        <f t="shared" si="92"/>
        <v>0</v>
      </c>
      <c r="M559" s="43">
        <f t="shared" si="93"/>
        <v>0</v>
      </c>
      <c r="N559" s="57">
        <f t="shared" si="94"/>
        <v>44</v>
      </c>
      <c r="O559" s="57">
        <f t="shared" si="95"/>
        <v>44</v>
      </c>
      <c r="P559" s="57">
        <f t="shared" si="96"/>
        <v>1</v>
      </c>
    </row>
    <row r="560" spans="2:16" s="6" customFormat="1">
      <c r="B560" s="14" t="s">
        <v>42</v>
      </c>
      <c r="C560" s="11" t="s">
        <v>62</v>
      </c>
      <c r="D560" s="11" t="s">
        <v>43</v>
      </c>
      <c r="E560" s="11"/>
      <c r="F560" s="11" t="s">
        <v>12</v>
      </c>
      <c r="G560" s="203">
        <f>G627+G561+G607+G612+G660+G644</f>
        <v>191214.6</v>
      </c>
      <c r="H560" s="203">
        <v>175526.2</v>
      </c>
      <c r="I560" s="207">
        <f t="shared" si="90"/>
        <v>0.91795396376636518</v>
      </c>
      <c r="J560" s="13"/>
      <c r="K560" s="43">
        <f t="shared" si="91"/>
        <v>0</v>
      </c>
      <c r="L560" s="43">
        <f t="shared" si="92"/>
        <v>0</v>
      </c>
      <c r="M560" s="43">
        <f t="shared" si="93"/>
        <v>0</v>
      </c>
      <c r="N560" s="57">
        <f t="shared" si="94"/>
        <v>0</v>
      </c>
      <c r="O560" s="57">
        <f t="shared" si="95"/>
        <v>0</v>
      </c>
      <c r="P560" s="57">
        <f t="shared" si="96"/>
        <v>0</v>
      </c>
    </row>
    <row r="561" spans="2:16" s="6" customFormat="1" ht="38.25">
      <c r="B561" s="74" t="s">
        <v>926</v>
      </c>
      <c r="C561" s="11" t="s">
        <v>62</v>
      </c>
      <c r="D561" s="11" t="s">
        <v>43</v>
      </c>
      <c r="E561" s="11" t="s">
        <v>346</v>
      </c>
      <c r="F561" s="11"/>
      <c r="G561" s="203">
        <f>G562+G584+G594+G597+G601+G604</f>
        <v>9999.2000000000007</v>
      </c>
      <c r="H561" s="203">
        <v>9811.4</v>
      </c>
      <c r="I561" s="207">
        <f t="shared" si="90"/>
        <v>0.98121849747979828</v>
      </c>
      <c r="J561" s="13"/>
      <c r="K561" s="43">
        <f t="shared" si="91"/>
        <v>0</v>
      </c>
      <c r="L561" s="43">
        <f t="shared" si="92"/>
        <v>0</v>
      </c>
      <c r="M561" s="43">
        <f t="shared" si="93"/>
        <v>0</v>
      </c>
      <c r="N561" s="57">
        <f t="shared" si="94"/>
        <v>0</v>
      </c>
      <c r="O561" s="57">
        <f t="shared" si="95"/>
        <v>0</v>
      </c>
      <c r="P561" s="57">
        <f t="shared" si="96"/>
        <v>0</v>
      </c>
    </row>
    <row r="562" spans="2:16" s="6" customFormat="1">
      <c r="B562" s="15" t="s">
        <v>362</v>
      </c>
      <c r="C562" s="50" t="s">
        <v>62</v>
      </c>
      <c r="D562" s="50" t="s">
        <v>43</v>
      </c>
      <c r="E562" s="50" t="s">
        <v>357</v>
      </c>
      <c r="F562" s="50"/>
      <c r="G562" s="204">
        <f>G563+G565+G570+G575+G567+G580+G564+G566</f>
        <v>8091.4000000000005</v>
      </c>
      <c r="H562" s="204">
        <v>7918.7</v>
      </c>
      <c r="I562" s="212">
        <f t="shared" si="90"/>
        <v>0.97865635118768068</v>
      </c>
      <c r="J562" s="46"/>
      <c r="K562" s="43">
        <f t="shared" si="91"/>
        <v>0</v>
      </c>
      <c r="L562" s="43">
        <f t="shared" si="92"/>
        <v>0</v>
      </c>
      <c r="M562" s="43">
        <f t="shared" si="93"/>
        <v>0</v>
      </c>
      <c r="N562" s="57">
        <f t="shared" si="94"/>
        <v>0</v>
      </c>
      <c r="O562" s="57">
        <f t="shared" si="95"/>
        <v>0</v>
      </c>
      <c r="P562" s="57">
        <f t="shared" si="96"/>
        <v>0</v>
      </c>
    </row>
    <row r="563" spans="2:16" s="6" customFormat="1" ht="25.5">
      <c r="B563" s="15" t="s">
        <v>504</v>
      </c>
      <c r="C563" s="50" t="s">
        <v>62</v>
      </c>
      <c r="D563" s="50" t="s">
        <v>43</v>
      </c>
      <c r="E563" s="50" t="s">
        <v>354</v>
      </c>
      <c r="F563" s="50" t="s">
        <v>20</v>
      </c>
      <c r="G563" s="204">
        <f>1000.5+165.6-500+170.9+45-30-68.2</f>
        <v>783.79999999999984</v>
      </c>
      <c r="H563" s="204">
        <v>611.5</v>
      </c>
      <c r="I563" s="212">
        <f t="shared" si="90"/>
        <v>0.78017351365144183</v>
      </c>
      <c r="J563" s="13">
        <v>1</v>
      </c>
      <c r="K563" s="43">
        <f t="shared" si="91"/>
        <v>783.79999999999984</v>
      </c>
      <c r="L563" s="43">
        <f t="shared" si="92"/>
        <v>611.5</v>
      </c>
      <c r="M563" s="43">
        <f t="shared" si="93"/>
        <v>0.78017351365144183</v>
      </c>
      <c r="N563" s="57">
        <f t="shared" si="94"/>
        <v>0</v>
      </c>
      <c r="O563" s="57">
        <f t="shared" si="95"/>
        <v>0</v>
      </c>
      <c r="P563" s="57">
        <f t="shared" si="96"/>
        <v>0</v>
      </c>
    </row>
    <row r="564" spans="2:16" s="6" customFormat="1" ht="25.5" hidden="1">
      <c r="B564" s="15" t="s">
        <v>509</v>
      </c>
      <c r="C564" s="50" t="s">
        <v>62</v>
      </c>
      <c r="D564" s="50" t="s">
        <v>43</v>
      </c>
      <c r="E564" s="50" t="s">
        <v>354</v>
      </c>
      <c r="F564" s="50" t="s">
        <v>20</v>
      </c>
      <c r="G564" s="204">
        <v>0</v>
      </c>
      <c r="H564" s="204"/>
      <c r="I564" s="212" t="e">
        <f t="shared" si="90"/>
        <v>#DIV/0!</v>
      </c>
      <c r="J564" s="13">
        <v>2</v>
      </c>
      <c r="K564" s="43">
        <f t="shared" si="91"/>
        <v>0</v>
      </c>
      <c r="L564" s="43">
        <f t="shared" si="92"/>
        <v>0</v>
      </c>
      <c r="M564" s="43">
        <f t="shared" si="93"/>
        <v>0</v>
      </c>
      <c r="N564" s="57">
        <f t="shared" si="94"/>
        <v>0</v>
      </c>
      <c r="O564" s="57">
        <f t="shared" si="95"/>
        <v>0</v>
      </c>
      <c r="P564" s="57" t="e">
        <f t="shared" si="96"/>
        <v>#DIV/0!</v>
      </c>
    </row>
    <row r="565" spans="2:16" s="6" customFormat="1" ht="25.5" hidden="1">
      <c r="B565" s="15" t="s">
        <v>554</v>
      </c>
      <c r="C565" s="50" t="s">
        <v>62</v>
      </c>
      <c r="D565" s="50" t="s">
        <v>43</v>
      </c>
      <c r="E565" s="50" t="s">
        <v>355</v>
      </c>
      <c r="F565" s="50" t="s">
        <v>31</v>
      </c>
      <c r="G565" s="204">
        <f>75-75</f>
        <v>0</v>
      </c>
      <c r="H565" s="204"/>
      <c r="I565" s="212" t="e">
        <f t="shared" si="90"/>
        <v>#DIV/0!</v>
      </c>
      <c r="J565" s="13">
        <v>1</v>
      </c>
      <c r="K565" s="43">
        <f t="shared" si="91"/>
        <v>0</v>
      </c>
      <c r="L565" s="43">
        <f t="shared" si="92"/>
        <v>0</v>
      </c>
      <c r="M565" s="43" t="e">
        <f t="shared" si="93"/>
        <v>#DIV/0!</v>
      </c>
      <c r="N565" s="57">
        <f t="shared" si="94"/>
        <v>0</v>
      </c>
      <c r="O565" s="57">
        <f t="shared" si="95"/>
        <v>0</v>
      </c>
      <c r="P565" s="57">
        <f t="shared" si="96"/>
        <v>0</v>
      </c>
    </row>
    <row r="566" spans="2:16" s="6" customFormat="1" ht="25.5" hidden="1">
      <c r="B566" s="15" t="s">
        <v>559</v>
      </c>
      <c r="C566" s="50" t="s">
        <v>62</v>
      </c>
      <c r="D566" s="50" t="s">
        <v>43</v>
      </c>
      <c r="E566" s="50" t="s">
        <v>355</v>
      </c>
      <c r="F566" s="50" t="s">
        <v>31</v>
      </c>
      <c r="G566" s="204">
        <v>0</v>
      </c>
      <c r="H566" s="204"/>
      <c r="I566" s="212" t="e">
        <f t="shared" si="90"/>
        <v>#DIV/0!</v>
      </c>
      <c r="J566" s="13">
        <v>2</v>
      </c>
      <c r="K566" s="43">
        <f t="shared" si="91"/>
        <v>0</v>
      </c>
      <c r="L566" s="43">
        <f t="shared" si="92"/>
        <v>0</v>
      </c>
      <c r="M566" s="43">
        <f t="shared" si="93"/>
        <v>0</v>
      </c>
      <c r="N566" s="57">
        <f t="shared" si="94"/>
        <v>0</v>
      </c>
      <c r="O566" s="57">
        <f t="shared" si="95"/>
        <v>0</v>
      </c>
      <c r="P566" s="57" t="e">
        <f t="shared" si="96"/>
        <v>#DIV/0!</v>
      </c>
    </row>
    <row r="567" spans="2:16" s="6" customFormat="1" hidden="1">
      <c r="B567" s="15" t="s">
        <v>560</v>
      </c>
      <c r="C567" s="50" t="s">
        <v>62</v>
      </c>
      <c r="D567" s="50" t="s">
        <v>43</v>
      </c>
      <c r="E567" s="50" t="s">
        <v>562</v>
      </c>
      <c r="F567" s="50"/>
      <c r="G567" s="204">
        <f>SUM(G568:G569)</f>
        <v>0</v>
      </c>
      <c r="H567" s="204"/>
      <c r="I567" s="212" t="e">
        <f t="shared" si="90"/>
        <v>#DIV/0!</v>
      </c>
      <c r="J567" s="13"/>
      <c r="K567" s="43">
        <f t="shared" si="91"/>
        <v>0</v>
      </c>
      <c r="L567" s="43">
        <f t="shared" si="92"/>
        <v>0</v>
      </c>
      <c r="M567" s="43">
        <f t="shared" si="93"/>
        <v>0</v>
      </c>
      <c r="N567" s="57">
        <f t="shared" si="94"/>
        <v>0</v>
      </c>
      <c r="O567" s="57">
        <f t="shared" si="95"/>
        <v>0</v>
      </c>
      <c r="P567" s="57">
        <f t="shared" si="96"/>
        <v>0</v>
      </c>
    </row>
    <row r="568" spans="2:16" s="6" customFormat="1" ht="25.5" hidden="1">
      <c r="B568" s="15" t="s">
        <v>504</v>
      </c>
      <c r="C568" s="50" t="s">
        <v>62</v>
      </c>
      <c r="D568" s="50" t="s">
        <v>43</v>
      </c>
      <c r="E568" s="50" t="s">
        <v>562</v>
      </c>
      <c r="F568" s="50" t="s">
        <v>20</v>
      </c>
      <c r="G568" s="204">
        <v>0</v>
      </c>
      <c r="H568" s="204"/>
      <c r="I568" s="212" t="e">
        <f t="shared" si="90"/>
        <v>#DIV/0!</v>
      </c>
      <c r="J568" s="13">
        <v>1</v>
      </c>
      <c r="K568" s="43">
        <f t="shared" si="91"/>
        <v>0</v>
      </c>
      <c r="L568" s="43">
        <f t="shared" si="92"/>
        <v>0</v>
      </c>
      <c r="M568" s="43" t="e">
        <f t="shared" si="93"/>
        <v>#DIV/0!</v>
      </c>
      <c r="N568" s="57">
        <f t="shared" si="94"/>
        <v>0</v>
      </c>
      <c r="O568" s="57">
        <f t="shared" si="95"/>
        <v>0</v>
      </c>
      <c r="P568" s="57">
        <f t="shared" si="96"/>
        <v>0</v>
      </c>
    </row>
    <row r="569" spans="2:16" s="6" customFormat="1" ht="25.5" hidden="1">
      <c r="B569" s="15" t="s">
        <v>509</v>
      </c>
      <c r="C569" s="50" t="s">
        <v>62</v>
      </c>
      <c r="D569" s="50" t="s">
        <v>43</v>
      </c>
      <c r="E569" s="50" t="s">
        <v>562</v>
      </c>
      <c r="F569" s="50" t="s">
        <v>20</v>
      </c>
      <c r="G569" s="204">
        <v>0</v>
      </c>
      <c r="H569" s="204"/>
      <c r="I569" s="212" t="e">
        <f t="shared" si="90"/>
        <v>#DIV/0!</v>
      </c>
      <c r="J569" s="13">
        <v>2</v>
      </c>
      <c r="K569" s="43">
        <f t="shared" si="91"/>
        <v>0</v>
      </c>
      <c r="L569" s="43">
        <f t="shared" si="92"/>
        <v>0</v>
      </c>
      <c r="M569" s="43">
        <f t="shared" si="93"/>
        <v>0</v>
      </c>
      <c r="N569" s="57">
        <f t="shared" si="94"/>
        <v>0</v>
      </c>
      <c r="O569" s="57">
        <f t="shared" si="95"/>
        <v>0</v>
      </c>
      <c r="P569" s="57" t="e">
        <f t="shared" si="96"/>
        <v>#DIV/0!</v>
      </c>
    </row>
    <row r="570" spans="2:16" s="6" customFormat="1" ht="25.5">
      <c r="B570" s="15" t="s">
        <v>558</v>
      </c>
      <c r="C570" s="50" t="s">
        <v>62</v>
      </c>
      <c r="D570" s="50" t="s">
        <v>43</v>
      </c>
      <c r="E570" s="50" t="s">
        <v>548</v>
      </c>
      <c r="F570" s="50"/>
      <c r="G570" s="204">
        <f>SUM(G571:G574)</f>
        <v>5263.2</v>
      </c>
      <c r="H570" s="204">
        <v>5263.2</v>
      </c>
      <c r="I570" s="212">
        <f t="shared" si="90"/>
        <v>1</v>
      </c>
      <c r="J570" s="13"/>
      <c r="K570" s="43">
        <f t="shared" si="91"/>
        <v>0</v>
      </c>
      <c r="L570" s="43">
        <f t="shared" si="92"/>
        <v>0</v>
      </c>
      <c r="M570" s="43">
        <f t="shared" si="93"/>
        <v>0</v>
      </c>
      <c r="N570" s="57">
        <f t="shared" si="94"/>
        <v>0</v>
      </c>
      <c r="O570" s="57">
        <f t="shared" si="95"/>
        <v>0</v>
      </c>
      <c r="P570" s="57">
        <f t="shared" si="96"/>
        <v>0</v>
      </c>
    </row>
    <row r="571" spans="2:16" s="6" customFormat="1" ht="25.5">
      <c r="B571" s="15" t="s">
        <v>559</v>
      </c>
      <c r="C571" s="50" t="s">
        <v>62</v>
      </c>
      <c r="D571" s="50" t="s">
        <v>43</v>
      </c>
      <c r="E571" s="50" t="s">
        <v>548</v>
      </c>
      <c r="F571" s="50" t="s">
        <v>31</v>
      </c>
      <c r="G571" s="204">
        <v>2500</v>
      </c>
      <c r="H571" s="204">
        <v>2500</v>
      </c>
      <c r="I571" s="212">
        <f t="shared" si="90"/>
        <v>1</v>
      </c>
      <c r="J571" s="13">
        <v>2</v>
      </c>
      <c r="K571" s="43">
        <f t="shared" si="91"/>
        <v>0</v>
      </c>
      <c r="L571" s="43">
        <f t="shared" si="92"/>
        <v>0</v>
      </c>
      <c r="M571" s="43">
        <f t="shared" si="93"/>
        <v>0</v>
      </c>
      <c r="N571" s="57">
        <f t="shared" si="94"/>
        <v>2500</v>
      </c>
      <c r="O571" s="57">
        <f t="shared" si="95"/>
        <v>2500</v>
      </c>
      <c r="P571" s="57">
        <f t="shared" si="96"/>
        <v>1</v>
      </c>
    </row>
    <row r="572" spans="2:16" s="6" customFormat="1" ht="25.5" hidden="1">
      <c r="B572" s="15" t="s">
        <v>554</v>
      </c>
      <c r="C572" s="50" t="s">
        <v>62</v>
      </c>
      <c r="D572" s="50" t="s">
        <v>43</v>
      </c>
      <c r="E572" s="50" t="s">
        <v>548</v>
      </c>
      <c r="F572" s="50" t="s">
        <v>31</v>
      </c>
      <c r="G572" s="204">
        <v>0</v>
      </c>
      <c r="H572" s="204">
        <v>0</v>
      </c>
      <c r="I572" s="212" t="e">
        <f t="shared" si="90"/>
        <v>#DIV/0!</v>
      </c>
      <c r="J572" s="13">
        <v>1</v>
      </c>
      <c r="K572" s="43">
        <f t="shared" si="91"/>
        <v>0</v>
      </c>
      <c r="L572" s="43">
        <f t="shared" si="92"/>
        <v>0</v>
      </c>
      <c r="M572" s="43" t="e">
        <f t="shared" si="93"/>
        <v>#DIV/0!</v>
      </c>
      <c r="N572" s="57">
        <f t="shared" si="94"/>
        <v>0</v>
      </c>
      <c r="O572" s="57">
        <f t="shared" si="95"/>
        <v>0</v>
      </c>
      <c r="P572" s="57">
        <f t="shared" si="96"/>
        <v>0</v>
      </c>
    </row>
    <row r="573" spans="2:16" s="6" customFormat="1" ht="25.5">
      <c r="B573" s="15" t="s">
        <v>509</v>
      </c>
      <c r="C573" s="50" t="s">
        <v>62</v>
      </c>
      <c r="D573" s="50" t="s">
        <v>43</v>
      </c>
      <c r="E573" s="50" t="s">
        <v>548</v>
      </c>
      <c r="F573" s="50" t="s">
        <v>20</v>
      </c>
      <c r="G573" s="204">
        <v>2500</v>
      </c>
      <c r="H573" s="204">
        <v>2500</v>
      </c>
      <c r="I573" s="212">
        <f t="shared" si="90"/>
        <v>1</v>
      </c>
      <c r="J573" s="13">
        <v>2</v>
      </c>
      <c r="K573" s="43">
        <f t="shared" si="91"/>
        <v>0</v>
      </c>
      <c r="L573" s="43">
        <f t="shared" si="92"/>
        <v>0</v>
      </c>
      <c r="M573" s="43">
        <f t="shared" si="93"/>
        <v>0</v>
      </c>
      <c r="N573" s="57">
        <f t="shared" si="94"/>
        <v>2500</v>
      </c>
      <c r="O573" s="57">
        <f t="shared" si="95"/>
        <v>2500</v>
      </c>
      <c r="P573" s="57">
        <f t="shared" si="96"/>
        <v>1</v>
      </c>
    </row>
    <row r="574" spans="2:16" s="6" customFormat="1" ht="25.5">
      <c r="B574" s="15" t="s">
        <v>504</v>
      </c>
      <c r="C574" s="50" t="s">
        <v>62</v>
      </c>
      <c r="D574" s="50" t="s">
        <v>43</v>
      </c>
      <c r="E574" s="50" t="s">
        <v>548</v>
      </c>
      <c r="F574" s="50" t="s">
        <v>20</v>
      </c>
      <c r="G574" s="204">
        <v>263.2</v>
      </c>
      <c r="H574" s="204">
        <v>263.2</v>
      </c>
      <c r="I574" s="212">
        <f t="shared" si="90"/>
        <v>1</v>
      </c>
      <c r="J574" s="13">
        <v>1</v>
      </c>
      <c r="K574" s="43">
        <f t="shared" si="91"/>
        <v>263.2</v>
      </c>
      <c r="L574" s="43">
        <f t="shared" si="92"/>
        <v>263.2</v>
      </c>
      <c r="M574" s="43">
        <f t="shared" si="93"/>
        <v>1</v>
      </c>
      <c r="N574" s="57">
        <f t="shared" si="94"/>
        <v>0</v>
      </c>
      <c r="O574" s="57">
        <f t="shared" si="95"/>
        <v>0</v>
      </c>
      <c r="P574" s="57">
        <f t="shared" si="96"/>
        <v>0</v>
      </c>
    </row>
    <row r="575" spans="2:16" s="6" customFormat="1" ht="38.25">
      <c r="B575" s="15" t="s">
        <v>557</v>
      </c>
      <c r="C575" s="50" t="s">
        <v>62</v>
      </c>
      <c r="D575" s="50" t="s">
        <v>43</v>
      </c>
      <c r="E575" s="50" t="s">
        <v>549</v>
      </c>
      <c r="F575" s="50"/>
      <c r="G575" s="204">
        <f>SUM(G576:G579)</f>
        <v>1053.0999999999999</v>
      </c>
      <c r="H575" s="204">
        <v>1052.7</v>
      </c>
      <c r="I575" s="212">
        <f t="shared" si="90"/>
        <v>0.99962016902478412</v>
      </c>
      <c r="J575" s="13"/>
      <c r="K575" s="43">
        <f t="shared" si="91"/>
        <v>0</v>
      </c>
      <c r="L575" s="43">
        <f t="shared" si="92"/>
        <v>0</v>
      </c>
      <c r="M575" s="43">
        <f t="shared" si="93"/>
        <v>0</v>
      </c>
      <c r="N575" s="57">
        <f t="shared" si="94"/>
        <v>0</v>
      </c>
      <c r="O575" s="57">
        <f t="shared" si="95"/>
        <v>0</v>
      </c>
      <c r="P575" s="57">
        <f t="shared" si="96"/>
        <v>0</v>
      </c>
    </row>
    <row r="576" spans="2:16" s="6" customFormat="1" ht="25.5">
      <c r="B576" s="15" t="s">
        <v>559</v>
      </c>
      <c r="C576" s="50" t="s">
        <v>62</v>
      </c>
      <c r="D576" s="50" t="s">
        <v>43</v>
      </c>
      <c r="E576" s="50" t="s">
        <v>549</v>
      </c>
      <c r="F576" s="50" t="s">
        <v>31</v>
      </c>
      <c r="G576" s="204">
        <f>90+11.6</f>
        <v>101.6</v>
      </c>
      <c r="H576" s="204">
        <v>101.6</v>
      </c>
      <c r="I576" s="212">
        <f t="shared" si="90"/>
        <v>1</v>
      </c>
      <c r="J576" s="13">
        <v>2</v>
      </c>
      <c r="K576" s="43">
        <f t="shared" si="91"/>
        <v>0</v>
      </c>
      <c r="L576" s="43">
        <f t="shared" si="92"/>
        <v>0</v>
      </c>
      <c r="M576" s="43">
        <f t="shared" si="93"/>
        <v>0</v>
      </c>
      <c r="N576" s="57">
        <f t="shared" si="94"/>
        <v>101.6</v>
      </c>
      <c r="O576" s="57">
        <f t="shared" si="95"/>
        <v>101.6</v>
      </c>
      <c r="P576" s="57">
        <f t="shared" si="96"/>
        <v>1</v>
      </c>
    </row>
    <row r="577" spans="2:16" s="6" customFormat="1" ht="25.5">
      <c r="B577" s="15" t="s">
        <v>554</v>
      </c>
      <c r="C577" s="50" t="s">
        <v>62</v>
      </c>
      <c r="D577" s="50" t="s">
        <v>43</v>
      </c>
      <c r="E577" s="50" t="s">
        <v>549</v>
      </c>
      <c r="F577" s="50" t="s">
        <v>31</v>
      </c>
      <c r="G577" s="204">
        <f>4.9+0.5</f>
        <v>5.4</v>
      </c>
      <c r="H577" s="204">
        <v>5.4</v>
      </c>
      <c r="I577" s="212">
        <f t="shared" si="90"/>
        <v>1</v>
      </c>
      <c r="J577" s="13">
        <v>1</v>
      </c>
      <c r="K577" s="43">
        <f t="shared" si="91"/>
        <v>5.4</v>
      </c>
      <c r="L577" s="43">
        <f t="shared" si="92"/>
        <v>5.4</v>
      </c>
      <c r="M577" s="43">
        <f t="shared" si="93"/>
        <v>1</v>
      </c>
      <c r="N577" s="57">
        <f t="shared" si="94"/>
        <v>0</v>
      </c>
      <c r="O577" s="57">
        <f t="shared" si="95"/>
        <v>0</v>
      </c>
      <c r="P577" s="57">
        <f t="shared" si="96"/>
        <v>0</v>
      </c>
    </row>
    <row r="578" spans="2:16" s="6" customFormat="1" ht="25.5">
      <c r="B578" s="15" t="s">
        <v>509</v>
      </c>
      <c r="C578" s="50" t="s">
        <v>62</v>
      </c>
      <c r="D578" s="50" t="s">
        <v>43</v>
      </c>
      <c r="E578" s="50" t="s">
        <v>549</v>
      </c>
      <c r="F578" s="50" t="s">
        <v>20</v>
      </c>
      <c r="G578" s="204">
        <f>1000-90-11.6</f>
        <v>898.4</v>
      </c>
      <c r="H578" s="204">
        <v>898.3</v>
      </c>
      <c r="I578" s="212">
        <f t="shared" si="90"/>
        <v>0.99988869100623323</v>
      </c>
      <c r="J578" s="13">
        <v>2</v>
      </c>
      <c r="K578" s="43">
        <f t="shared" si="91"/>
        <v>0</v>
      </c>
      <c r="L578" s="43">
        <f t="shared" si="92"/>
        <v>0</v>
      </c>
      <c r="M578" s="43">
        <f t="shared" si="93"/>
        <v>0</v>
      </c>
      <c r="N578" s="57">
        <f t="shared" si="94"/>
        <v>898.4</v>
      </c>
      <c r="O578" s="57">
        <f t="shared" si="95"/>
        <v>898.3</v>
      </c>
      <c r="P578" s="57">
        <f t="shared" si="96"/>
        <v>0.99988869100623323</v>
      </c>
    </row>
    <row r="579" spans="2:16" s="6" customFormat="1" ht="25.5">
      <c r="B579" s="15" t="s">
        <v>504</v>
      </c>
      <c r="C579" s="50" t="s">
        <v>62</v>
      </c>
      <c r="D579" s="50" t="s">
        <v>43</v>
      </c>
      <c r="E579" s="50" t="s">
        <v>549</v>
      </c>
      <c r="F579" s="50" t="s">
        <v>20</v>
      </c>
      <c r="G579" s="204">
        <f>53.1-4.9-0.5</f>
        <v>47.7</v>
      </c>
      <c r="H579" s="204">
        <v>47.8</v>
      </c>
      <c r="I579" s="212">
        <f t="shared" si="90"/>
        <v>1.0020964360587001</v>
      </c>
      <c r="J579" s="13">
        <v>1</v>
      </c>
      <c r="K579" s="43">
        <f t="shared" si="91"/>
        <v>47.7</v>
      </c>
      <c r="L579" s="43">
        <f t="shared" si="92"/>
        <v>47.8</v>
      </c>
      <c r="M579" s="43">
        <f t="shared" si="93"/>
        <v>1.0020964360587001</v>
      </c>
      <c r="N579" s="57">
        <f t="shared" si="94"/>
        <v>0</v>
      </c>
      <c r="O579" s="57">
        <f t="shared" si="95"/>
        <v>0</v>
      </c>
      <c r="P579" s="57">
        <f t="shared" si="96"/>
        <v>0</v>
      </c>
    </row>
    <row r="580" spans="2:16" s="6" customFormat="1" ht="30.75" customHeight="1">
      <c r="B580" s="15" t="s">
        <v>865</v>
      </c>
      <c r="C580" s="50" t="s">
        <v>62</v>
      </c>
      <c r="D580" s="50" t="s">
        <v>43</v>
      </c>
      <c r="E580" s="50" t="s">
        <v>562</v>
      </c>
      <c r="F580" s="50"/>
      <c r="G580" s="204">
        <f>SUM(G581:G583)</f>
        <v>991.3</v>
      </c>
      <c r="H580" s="204">
        <v>991.3</v>
      </c>
      <c r="I580" s="212">
        <f t="shared" si="90"/>
        <v>1</v>
      </c>
      <c r="J580" s="13"/>
      <c r="K580" s="43">
        <f t="shared" si="91"/>
        <v>0</v>
      </c>
      <c r="L580" s="43">
        <f t="shared" si="92"/>
        <v>0</v>
      </c>
      <c r="M580" s="43">
        <f t="shared" si="93"/>
        <v>0</v>
      </c>
      <c r="N580" s="57">
        <f t="shared" si="94"/>
        <v>0</v>
      </c>
      <c r="O580" s="57">
        <f t="shared" si="95"/>
        <v>0</v>
      </c>
      <c r="P580" s="57">
        <f t="shared" si="96"/>
        <v>0</v>
      </c>
    </row>
    <row r="581" spans="2:16" s="6" customFormat="1" ht="25.5">
      <c r="B581" s="15" t="s">
        <v>504</v>
      </c>
      <c r="C581" s="50" t="s">
        <v>62</v>
      </c>
      <c r="D581" s="50" t="s">
        <v>43</v>
      </c>
      <c r="E581" s="50" t="s">
        <v>562</v>
      </c>
      <c r="F581" s="50" t="s">
        <v>20</v>
      </c>
      <c r="G581" s="204">
        <v>19.899999999999999</v>
      </c>
      <c r="H581" s="204">
        <v>19.899999999999999</v>
      </c>
      <c r="I581" s="212">
        <f t="shared" si="90"/>
        <v>1</v>
      </c>
      <c r="J581" s="13">
        <v>1</v>
      </c>
      <c r="K581" s="43">
        <f t="shared" si="91"/>
        <v>19.899999999999999</v>
      </c>
      <c r="L581" s="43">
        <f t="shared" si="92"/>
        <v>19.899999999999999</v>
      </c>
      <c r="M581" s="43">
        <f t="shared" si="93"/>
        <v>1</v>
      </c>
      <c r="N581" s="57">
        <f t="shared" si="94"/>
        <v>0</v>
      </c>
      <c r="O581" s="57">
        <f t="shared" si="95"/>
        <v>0</v>
      </c>
      <c r="P581" s="57">
        <f t="shared" si="96"/>
        <v>0</v>
      </c>
    </row>
    <row r="582" spans="2:16" s="6" customFormat="1" ht="25.5">
      <c r="B582" s="15" t="s">
        <v>509</v>
      </c>
      <c r="C582" s="50" t="s">
        <v>62</v>
      </c>
      <c r="D582" s="50" t="s">
        <v>43</v>
      </c>
      <c r="E582" s="50" t="s">
        <v>562</v>
      </c>
      <c r="F582" s="50" t="s">
        <v>20</v>
      </c>
      <c r="G582" s="204">
        <v>931.4</v>
      </c>
      <c r="H582" s="204">
        <v>931.3</v>
      </c>
      <c r="I582" s="212">
        <f t="shared" si="90"/>
        <v>0.99989263474339696</v>
      </c>
      <c r="J582" s="13"/>
      <c r="K582" s="43"/>
      <c r="L582" s="43"/>
      <c r="M582" s="43"/>
      <c r="N582" s="57"/>
      <c r="O582" s="57"/>
      <c r="P582" s="57"/>
    </row>
    <row r="583" spans="2:16" s="6" customFormat="1" ht="25.5">
      <c r="B583" s="15" t="s">
        <v>943</v>
      </c>
      <c r="C583" s="50" t="s">
        <v>62</v>
      </c>
      <c r="D583" s="50" t="s">
        <v>43</v>
      </c>
      <c r="E583" s="50" t="s">
        <v>562</v>
      </c>
      <c r="F583" s="50" t="s">
        <v>31</v>
      </c>
      <c r="G583" s="204">
        <v>40</v>
      </c>
      <c r="H583" s="204">
        <v>40</v>
      </c>
      <c r="I583" s="212">
        <f t="shared" si="90"/>
        <v>1</v>
      </c>
      <c r="J583" s="13">
        <v>1</v>
      </c>
      <c r="K583" s="43">
        <f t="shared" si="91"/>
        <v>40</v>
      </c>
      <c r="L583" s="43">
        <f t="shared" si="92"/>
        <v>40</v>
      </c>
      <c r="M583" s="43">
        <f t="shared" si="93"/>
        <v>1</v>
      </c>
      <c r="N583" s="57">
        <f t="shared" si="94"/>
        <v>0</v>
      </c>
      <c r="O583" s="57">
        <f t="shared" si="95"/>
        <v>0</v>
      </c>
      <c r="P583" s="57">
        <f t="shared" si="96"/>
        <v>0</v>
      </c>
    </row>
    <row r="584" spans="2:16" s="6" customFormat="1" ht="25.5">
      <c r="B584" s="15" t="s">
        <v>454</v>
      </c>
      <c r="C584" s="50" t="s">
        <v>62</v>
      </c>
      <c r="D584" s="50" t="s">
        <v>43</v>
      </c>
      <c r="E584" s="50" t="s">
        <v>358</v>
      </c>
      <c r="F584" s="50"/>
      <c r="G584" s="204">
        <f>G585+G587+G589+G588+G586</f>
        <v>1052.8</v>
      </c>
      <c r="H584" s="204">
        <v>1052.8</v>
      </c>
      <c r="I584" s="212">
        <f t="shared" si="90"/>
        <v>1</v>
      </c>
      <c r="J584" s="13"/>
      <c r="K584" s="43">
        <f t="shared" si="91"/>
        <v>0</v>
      </c>
      <c r="L584" s="43">
        <f t="shared" si="92"/>
        <v>0</v>
      </c>
      <c r="M584" s="43">
        <f t="shared" si="93"/>
        <v>0</v>
      </c>
      <c r="N584" s="57">
        <f t="shared" si="94"/>
        <v>0</v>
      </c>
      <c r="O584" s="57">
        <f t="shared" si="95"/>
        <v>0</v>
      </c>
      <c r="P584" s="57">
        <f t="shared" si="96"/>
        <v>0</v>
      </c>
    </row>
    <row r="585" spans="2:16" s="6" customFormat="1" hidden="1">
      <c r="B585" s="15" t="s">
        <v>19</v>
      </c>
      <c r="C585" s="50" t="s">
        <v>62</v>
      </c>
      <c r="D585" s="50" t="s">
        <v>43</v>
      </c>
      <c r="E585" s="50" t="s">
        <v>353</v>
      </c>
      <c r="F585" s="50" t="s">
        <v>20</v>
      </c>
      <c r="G585" s="204">
        <v>0</v>
      </c>
      <c r="H585" s="204"/>
      <c r="I585" s="212" t="e">
        <f t="shared" si="90"/>
        <v>#DIV/0!</v>
      </c>
      <c r="J585" s="13">
        <v>1</v>
      </c>
      <c r="K585" s="43">
        <f t="shared" si="91"/>
        <v>0</v>
      </c>
      <c r="L585" s="43">
        <f t="shared" si="92"/>
        <v>0</v>
      </c>
      <c r="M585" s="43" t="e">
        <f t="shared" si="93"/>
        <v>#DIV/0!</v>
      </c>
      <c r="N585" s="57">
        <f t="shared" si="94"/>
        <v>0</v>
      </c>
      <c r="O585" s="57">
        <f t="shared" si="95"/>
        <v>0</v>
      </c>
      <c r="P585" s="57">
        <f t="shared" si="96"/>
        <v>0</v>
      </c>
    </row>
    <row r="586" spans="2:16" s="6" customFormat="1" ht="25.5" hidden="1">
      <c r="B586" s="15" t="s">
        <v>509</v>
      </c>
      <c r="C586" s="50" t="s">
        <v>62</v>
      </c>
      <c r="D586" s="50" t="s">
        <v>43</v>
      </c>
      <c r="E586" s="50" t="s">
        <v>353</v>
      </c>
      <c r="F586" s="50" t="s">
        <v>20</v>
      </c>
      <c r="G586" s="204">
        <v>0</v>
      </c>
      <c r="H586" s="204"/>
      <c r="I586" s="212" t="e">
        <f t="shared" si="90"/>
        <v>#DIV/0!</v>
      </c>
      <c r="J586" s="13">
        <v>2</v>
      </c>
      <c r="K586" s="43">
        <f t="shared" si="91"/>
        <v>0</v>
      </c>
      <c r="L586" s="43">
        <f t="shared" si="92"/>
        <v>0</v>
      </c>
      <c r="M586" s="43">
        <f t="shared" si="93"/>
        <v>0</v>
      </c>
      <c r="N586" s="57">
        <f t="shared" si="94"/>
        <v>0</v>
      </c>
      <c r="O586" s="57">
        <f t="shared" si="95"/>
        <v>0</v>
      </c>
      <c r="P586" s="57" t="e">
        <f t="shared" si="96"/>
        <v>#DIV/0!</v>
      </c>
    </row>
    <row r="587" spans="2:16" s="6" customFormat="1" ht="25.5" hidden="1">
      <c r="B587" s="15" t="s">
        <v>30</v>
      </c>
      <c r="C587" s="50" t="s">
        <v>62</v>
      </c>
      <c r="D587" s="50" t="s">
        <v>43</v>
      </c>
      <c r="E587" s="50" t="s">
        <v>356</v>
      </c>
      <c r="F587" s="50" t="s">
        <v>31</v>
      </c>
      <c r="G587" s="204">
        <f>40-40</f>
        <v>0</v>
      </c>
      <c r="H587" s="204">
        <v>0</v>
      </c>
      <c r="I587" s="212" t="e">
        <f t="shared" si="90"/>
        <v>#DIV/0!</v>
      </c>
      <c r="J587" s="13">
        <v>1</v>
      </c>
      <c r="K587" s="43">
        <f t="shared" si="91"/>
        <v>0</v>
      </c>
      <c r="L587" s="43">
        <f t="shared" si="92"/>
        <v>0</v>
      </c>
      <c r="M587" s="43" t="e">
        <f t="shared" si="93"/>
        <v>#DIV/0!</v>
      </c>
      <c r="N587" s="57">
        <f t="shared" si="94"/>
        <v>0</v>
      </c>
      <c r="O587" s="57">
        <f t="shared" si="95"/>
        <v>0</v>
      </c>
      <c r="P587" s="57">
        <f t="shared" si="96"/>
        <v>0</v>
      </c>
    </row>
    <row r="588" spans="2:16" s="6" customFormat="1" ht="25.5" hidden="1">
      <c r="B588" s="15" t="s">
        <v>559</v>
      </c>
      <c r="C588" s="50" t="s">
        <v>62</v>
      </c>
      <c r="D588" s="50" t="s">
        <v>43</v>
      </c>
      <c r="E588" s="50" t="s">
        <v>356</v>
      </c>
      <c r="F588" s="50" t="s">
        <v>31</v>
      </c>
      <c r="G588" s="204">
        <v>0</v>
      </c>
      <c r="H588" s="204"/>
      <c r="I588" s="212" t="e">
        <f t="shared" si="90"/>
        <v>#DIV/0!</v>
      </c>
      <c r="J588" s="13">
        <v>2</v>
      </c>
      <c r="K588" s="43">
        <f t="shared" si="91"/>
        <v>0</v>
      </c>
      <c r="L588" s="43">
        <f t="shared" si="92"/>
        <v>0</v>
      </c>
      <c r="M588" s="43">
        <f t="shared" si="93"/>
        <v>0</v>
      </c>
      <c r="N588" s="57">
        <f t="shared" si="94"/>
        <v>0</v>
      </c>
      <c r="O588" s="57">
        <f t="shared" si="95"/>
        <v>0</v>
      </c>
      <c r="P588" s="57" t="e">
        <f t="shared" si="96"/>
        <v>#DIV/0!</v>
      </c>
    </row>
    <row r="589" spans="2:16" s="6" customFormat="1" ht="25.5">
      <c r="B589" s="15" t="s">
        <v>556</v>
      </c>
      <c r="C589" s="50" t="s">
        <v>62</v>
      </c>
      <c r="D589" s="50" t="s">
        <v>43</v>
      </c>
      <c r="E589" s="50" t="s">
        <v>550</v>
      </c>
      <c r="F589" s="50"/>
      <c r="G589" s="204">
        <f>SUM(G590:G593)</f>
        <v>1052.8</v>
      </c>
      <c r="H589" s="204">
        <v>1052.8</v>
      </c>
      <c r="I589" s="212">
        <f t="shared" si="90"/>
        <v>1</v>
      </c>
      <c r="J589" s="13"/>
      <c r="K589" s="43">
        <f t="shared" si="91"/>
        <v>0</v>
      </c>
      <c r="L589" s="43">
        <f t="shared" si="92"/>
        <v>0</v>
      </c>
      <c r="M589" s="43">
        <f t="shared" si="93"/>
        <v>0</v>
      </c>
      <c r="N589" s="57">
        <f t="shared" si="94"/>
        <v>0</v>
      </c>
      <c r="O589" s="57">
        <f t="shared" si="95"/>
        <v>0</v>
      </c>
      <c r="P589" s="57">
        <f t="shared" si="96"/>
        <v>0</v>
      </c>
    </row>
    <row r="590" spans="2:16" s="6" customFormat="1" ht="25.5" hidden="1">
      <c r="B590" s="15" t="s">
        <v>559</v>
      </c>
      <c r="C590" s="50" t="s">
        <v>62</v>
      </c>
      <c r="D590" s="50" t="s">
        <v>43</v>
      </c>
      <c r="E590" s="50" t="s">
        <v>550</v>
      </c>
      <c r="F590" s="50" t="s">
        <v>31</v>
      </c>
      <c r="G590" s="204">
        <v>0</v>
      </c>
      <c r="H590" s="204"/>
      <c r="I590" s="212" t="e">
        <f t="shared" si="90"/>
        <v>#DIV/0!</v>
      </c>
      <c r="J590" s="13">
        <v>2</v>
      </c>
      <c r="K590" s="43">
        <f t="shared" si="91"/>
        <v>0</v>
      </c>
      <c r="L590" s="43">
        <f t="shared" si="92"/>
        <v>0</v>
      </c>
      <c r="M590" s="43">
        <f t="shared" si="93"/>
        <v>0</v>
      </c>
      <c r="N590" s="57">
        <f t="shared" si="94"/>
        <v>0</v>
      </c>
      <c r="O590" s="57">
        <f t="shared" si="95"/>
        <v>0</v>
      </c>
      <c r="P590" s="57" t="e">
        <f t="shared" si="96"/>
        <v>#DIV/0!</v>
      </c>
    </row>
    <row r="591" spans="2:16" s="6" customFormat="1" ht="25.5" hidden="1">
      <c r="B591" s="15" t="s">
        <v>30</v>
      </c>
      <c r="C591" s="50" t="s">
        <v>62</v>
      </c>
      <c r="D591" s="50" t="s">
        <v>43</v>
      </c>
      <c r="E591" s="50" t="s">
        <v>550</v>
      </c>
      <c r="F591" s="50" t="s">
        <v>31</v>
      </c>
      <c r="G591" s="204">
        <v>0</v>
      </c>
      <c r="H591" s="204"/>
      <c r="I591" s="212" t="e">
        <f t="shared" si="90"/>
        <v>#DIV/0!</v>
      </c>
      <c r="J591" s="13">
        <v>1</v>
      </c>
      <c r="K591" s="43">
        <f t="shared" si="91"/>
        <v>0</v>
      </c>
      <c r="L591" s="43">
        <f t="shared" si="92"/>
        <v>0</v>
      </c>
      <c r="M591" s="43" t="e">
        <f t="shared" si="93"/>
        <v>#DIV/0!</v>
      </c>
      <c r="N591" s="57">
        <f t="shared" si="94"/>
        <v>0</v>
      </c>
      <c r="O591" s="57">
        <f t="shared" si="95"/>
        <v>0</v>
      </c>
      <c r="P591" s="57">
        <f t="shared" si="96"/>
        <v>0</v>
      </c>
    </row>
    <row r="592" spans="2:16" s="6" customFormat="1" ht="25.5">
      <c r="B592" s="15" t="s">
        <v>509</v>
      </c>
      <c r="C592" s="50" t="s">
        <v>62</v>
      </c>
      <c r="D592" s="50" t="s">
        <v>43</v>
      </c>
      <c r="E592" s="50" t="s">
        <v>550</v>
      </c>
      <c r="F592" s="50" t="s">
        <v>20</v>
      </c>
      <c r="G592" s="204">
        <v>1000</v>
      </c>
      <c r="H592" s="204">
        <v>1000</v>
      </c>
      <c r="I592" s="212">
        <f t="shared" si="90"/>
        <v>1</v>
      </c>
      <c r="J592" s="13">
        <v>2</v>
      </c>
      <c r="K592" s="43">
        <f t="shared" si="91"/>
        <v>0</v>
      </c>
      <c r="L592" s="43">
        <f t="shared" si="92"/>
        <v>0</v>
      </c>
      <c r="M592" s="43">
        <f t="shared" si="93"/>
        <v>0</v>
      </c>
      <c r="N592" s="57">
        <f t="shared" si="94"/>
        <v>1000</v>
      </c>
      <c r="O592" s="57">
        <f t="shared" si="95"/>
        <v>1000</v>
      </c>
      <c r="P592" s="57">
        <f t="shared" si="96"/>
        <v>1</v>
      </c>
    </row>
    <row r="593" spans="2:16" s="6" customFormat="1" ht="25.5">
      <c r="B593" s="15" t="s">
        <v>504</v>
      </c>
      <c r="C593" s="50" t="s">
        <v>62</v>
      </c>
      <c r="D593" s="50" t="s">
        <v>43</v>
      </c>
      <c r="E593" s="50" t="s">
        <v>550</v>
      </c>
      <c r="F593" s="50" t="s">
        <v>20</v>
      </c>
      <c r="G593" s="204">
        <v>52.8</v>
      </c>
      <c r="H593" s="204">
        <v>52.8</v>
      </c>
      <c r="I593" s="212">
        <f t="shared" si="90"/>
        <v>1</v>
      </c>
      <c r="J593" s="13">
        <v>1</v>
      </c>
      <c r="K593" s="43">
        <f t="shared" si="91"/>
        <v>52.8</v>
      </c>
      <c r="L593" s="43">
        <f t="shared" si="92"/>
        <v>52.8</v>
      </c>
      <c r="M593" s="43">
        <f t="shared" si="93"/>
        <v>1</v>
      </c>
      <c r="N593" s="57">
        <f t="shared" si="94"/>
        <v>0</v>
      </c>
      <c r="O593" s="57">
        <f t="shared" si="95"/>
        <v>0</v>
      </c>
      <c r="P593" s="57">
        <f t="shared" si="96"/>
        <v>0</v>
      </c>
    </row>
    <row r="594" spans="2:16" s="6" customFormat="1" ht="25.5" hidden="1">
      <c r="B594" s="15" t="s">
        <v>518</v>
      </c>
      <c r="C594" s="50" t="s">
        <v>62</v>
      </c>
      <c r="D594" s="50" t="s">
        <v>43</v>
      </c>
      <c r="E594" s="50" t="s">
        <v>546</v>
      </c>
      <c r="F594" s="50"/>
      <c r="G594" s="204">
        <f>G595+G596</f>
        <v>0</v>
      </c>
      <c r="H594" s="204"/>
      <c r="I594" s="207" t="e">
        <f t="shared" si="90"/>
        <v>#DIV/0!</v>
      </c>
      <c r="J594" s="13"/>
      <c r="K594" s="43">
        <f t="shared" si="91"/>
        <v>0</v>
      </c>
      <c r="L594" s="43">
        <f t="shared" si="92"/>
        <v>0</v>
      </c>
      <c r="M594" s="43">
        <f t="shared" si="93"/>
        <v>0</v>
      </c>
      <c r="N594" s="57">
        <f t="shared" si="94"/>
        <v>0</v>
      </c>
      <c r="O594" s="57">
        <f t="shared" si="95"/>
        <v>0</v>
      </c>
      <c r="P594" s="57">
        <f t="shared" si="96"/>
        <v>0</v>
      </c>
    </row>
    <row r="595" spans="2:16" s="6" customFormat="1" hidden="1">
      <c r="B595" s="15" t="s">
        <v>19</v>
      </c>
      <c r="C595" s="50" t="s">
        <v>62</v>
      </c>
      <c r="D595" s="50" t="s">
        <v>43</v>
      </c>
      <c r="E595" s="50" t="s">
        <v>545</v>
      </c>
      <c r="F595" s="50" t="s">
        <v>20</v>
      </c>
      <c r="G595" s="204">
        <v>0</v>
      </c>
      <c r="H595" s="204"/>
      <c r="I595" s="207" t="e">
        <f t="shared" si="90"/>
        <v>#DIV/0!</v>
      </c>
      <c r="J595" s="13">
        <v>1</v>
      </c>
      <c r="K595" s="43">
        <f t="shared" si="91"/>
        <v>0</v>
      </c>
      <c r="L595" s="43">
        <f t="shared" si="92"/>
        <v>0</v>
      </c>
      <c r="M595" s="43" t="e">
        <f t="shared" si="93"/>
        <v>#DIV/0!</v>
      </c>
      <c r="N595" s="57">
        <f t="shared" si="94"/>
        <v>0</v>
      </c>
      <c r="O595" s="57">
        <f t="shared" si="95"/>
        <v>0</v>
      </c>
      <c r="P595" s="57">
        <f t="shared" si="96"/>
        <v>0</v>
      </c>
    </row>
    <row r="596" spans="2:16" s="6" customFormat="1" ht="25.5" hidden="1">
      <c r="B596" s="15" t="s">
        <v>509</v>
      </c>
      <c r="C596" s="50" t="s">
        <v>62</v>
      </c>
      <c r="D596" s="50" t="s">
        <v>43</v>
      </c>
      <c r="E596" s="50" t="s">
        <v>545</v>
      </c>
      <c r="F596" s="50" t="s">
        <v>20</v>
      </c>
      <c r="G596" s="204">
        <v>0</v>
      </c>
      <c r="H596" s="204"/>
      <c r="I596" s="207" t="e">
        <f t="shared" si="90"/>
        <v>#DIV/0!</v>
      </c>
      <c r="J596" s="13">
        <v>2</v>
      </c>
      <c r="K596" s="43">
        <f t="shared" si="91"/>
        <v>0</v>
      </c>
      <c r="L596" s="43">
        <f t="shared" si="92"/>
        <v>0</v>
      </c>
      <c r="M596" s="43">
        <f t="shared" si="93"/>
        <v>0</v>
      </c>
      <c r="N596" s="57">
        <f t="shared" si="94"/>
        <v>0</v>
      </c>
      <c r="O596" s="57">
        <f t="shared" si="95"/>
        <v>0</v>
      </c>
      <c r="P596" s="57" t="e">
        <f t="shared" si="96"/>
        <v>#DIV/0!</v>
      </c>
    </row>
    <row r="597" spans="2:16" s="6" customFormat="1" ht="38.25">
      <c r="B597" s="15" t="s">
        <v>600</v>
      </c>
      <c r="C597" s="50" t="s">
        <v>62</v>
      </c>
      <c r="D597" s="50" t="s">
        <v>43</v>
      </c>
      <c r="E597" s="50" t="s">
        <v>598</v>
      </c>
      <c r="F597" s="50"/>
      <c r="G597" s="204">
        <f>G598</f>
        <v>855</v>
      </c>
      <c r="H597" s="204">
        <v>840</v>
      </c>
      <c r="I597" s="212">
        <f t="shared" si="90"/>
        <v>0.98245614035087714</v>
      </c>
      <c r="J597" s="13"/>
      <c r="K597" s="43">
        <f t="shared" si="91"/>
        <v>0</v>
      </c>
      <c r="L597" s="43">
        <f t="shared" si="92"/>
        <v>0</v>
      </c>
      <c r="M597" s="43">
        <f t="shared" si="93"/>
        <v>0</v>
      </c>
      <c r="N597" s="57">
        <f t="shared" si="94"/>
        <v>0</v>
      </c>
      <c r="O597" s="57">
        <f t="shared" si="95"/>
        <v>0</v>
      </c>
      <c r="P597" s="57">
        <f t="shared" si="96"/>
        <v>0</v>
      </c>
    </row>
    <row r="598" spans="2:16" s="6" customFormat="1">
      <c r="B598" s="15" t="s">
        <v>601</v>
      </c>
      <c r="C598" s="50" t="s">
        <v>62</v>
      </c>
      <c r="D598" s="50" t="s">
        <v>43</v>
      </c>
      <c r="E598" s="50" t="s">
        <v>599</v>
      </c>
      <c r="F598" s="50"/>
      <c r="G598" s="204">
        <f>G599+G600</f>
        <v>855</v>
      </c>
      <c r="H598" s="204">
        <v>840</v>
      </c>
      <c r="I598" s="212">
        <f t="shared" si="90"/>
        <v>0.98245614035087714</v>
      </c>
      <c r="J598" s="13"/>
      <c r="K598" s="43">
        <f t="shared" si="91"/>
        <v>0</v>
      </c>
      <c r="L598" s="43">
        <f t="shared" si="92"/>
        <v>0</v>
      </c>
      <c r="M598" s="43">
        <f t="shared" si="93"/>
        <v>0</v>
      </c>
      <c r="N598" s="57">
        <f t="shared" si="94"/>
        <v>0</v>
      </c>
      <c r="O598" s="57">
        <f t="shared" si="95"/>
        <v>0</v>
      </c>
      <c r="P598" s="57">
        <f t="shared" si="96"/>
        <v>0</v>
      </c>
    </row>
    <row r="599" spans="2:16" s="6" customFormat="1" ht="25.5">
      <c r="B599" s="15" t="s">
        <v>559</v>
      </c>
      <c r="C599" s="50" t="s">
        <v>62</v>
      </c>
      <c r="D599" s="50" t="s">
        <v>43</v>
      </c>
      <c r="E599" s="50" t="s">
        <v>599</v>
      </c>
      <c r="F599" s="50" t="s">
        <v>31</v>
      </c>
      <c r="G599" s="204">
        <v>750</v>
      </c>
      <c r="H599" s="204">
        <v>750</v>
      </c>
      <c r="I599" s="212">
        <f t="shared" si="90"/>
        <v>1</v>
      </c>
      <c r="J599" s="13">
        <v>2</v>
      </c>
      <c r="K599" s="43">
        <f t="shared" si="91"/>
        <v>0</v>
      </c>
      <c r="L599" s="43">
        <f t="shared" si="92"/>
        <v>0</v>
      </c>
      <c r="M599" s="43">
        <f t="shared" si="93"/>
        <v>0</v>
      </c>
      <c r="N599" s="57">
        <f t="shared" si="94"/>
        <v>750</v>
      </c>
      <c r="O599" s="57">
        <f t="shared" si="95"/>
        <v>750</v>
      </c>
      <c r="P599" s="57">
        <f t="shared" si="96"/>
        <v>1</v>
      </c>
    </row>
    <row r="600" spans="2:16" s="6" customFormat="1" ht="25.5">
      <c r="B600" s="15" t="s">
        <v>554</v>
      </c>
      <c r="C600" s="50" t="s">
        <v>62</v>
      </c>
      <c r="D600" s="50" t="s">
        <v>43</v>
      </c>
      <c r="E600" s="50" t="s">
        <v>599</v>
      </c>
      <c r="F600" s="50" t="s">
        <v>31</v>
      </c>
      <c r="G600" s="204">
        <f>90+15</f>
        <v>105</v>
      </c>
      <c r="H600" s="204">
        <v>90</v>
      </c>
      <c r="I600" s="212">
        <f t="shared" si="90"/>
        <v>0.8571428571428571</v>
      </c>
      <c r="J600" s="13">
        <v>1</v>
      </c>
      <c r="K600" s="43">
        <f t="shared" si="91"/>
        <v>105</v>
      </c>
      <c r="L600" s="43">
        <f t="shared" si="92"/>
        <v>90</v>
      </c>
      <c r="M600" s="43">
        <f t="shared" si="93"/>
        <v>0.8571428571428571</v>
      </c>
      <c r="N600" s="57">
        <f t="shared" si="94"/>
        <v>0</v>
      </c>
      <c r="O600" s="57">
        <f t="shared" si="95"/>
        <v>0</v>
      </c>
      <c r="P600" s="57">
        <f t="shared" si="96"/>
        <v>0</v>
      </c>
    </row>
    <row r="601" spans="2:16" s="6" customFormat="1" ht="38.25" hidden="1">
      <c r="B601" s="15" t="s">
        <v>847</v>
      </c>
      <c r="C601" s="50" t="s">
        <v>62</v>
      </c>
      <c r="D601" s="50" t="s">
        <v>43</v>
      </c>
      <c r="E601" s="50" t="s">
        <v>846</v>
      </c>
      <c r="F601" s="50"/>
      <c r="G601" s="204">
        <f>G602+G603</f>
        <v>0</v>
      </c>
      <c r="H601" s="204"/>
      <c r="I601" s="207" t="e">
        <f t="shared" si="90"/>
        <v>#DIV/0!</v>
      </c>
      <c r="J601" s="13"/>
      <c r="K601" s="43"/>
      <c r="L601" s="43"/>
      <c r="M601" s="43"/>
      <c r="N601" s="57"/>
      <c r="O601" s="57"/>
      <c r="P601" s="57"/>
    </row>
    <row r="602" spans="2:16" s="6" customFormat="1" ht="25.5" hidden="1">
      <c r="B602" s="15" t="s">
        <v>509</v>
      </c>
      <c r="C602" s="50" t="s">
        <v>62</v>
      </c>
      <c r="D602" s="50" t="s">
        <v>43</v>
      </c>
      <c r="E602" s="50" t="s">
        <v>846</v>
      </c>
      <c r="F602" s="50" t="s">
        <v>20</v>
      </c>
      <c r="G602" s="204">
        <v>0</v>
      </c>
      <c r="H602" s="204"/>
      <c r="I602" s="207" t="e">
        <f t="shared" si="90"/>
        <v>#DIV/0!</v>
      </c>
      <c r="J602" s="13"/>
      <c r="K602" s="43"/>
      <c r="L602" s="43"/>
      <c r="M602" s="43"/>
      <c r="N602" s="57"/>
      <c r="O602" s="57"/>
      <c r="P602" s="57"/>
    </row>
    <row r="603" spans="2:16" s="6" customFormat="1" ht="25.5" hidden="1">
      <c r="B603" s="15" t="s">
        <v>504</v>
      </c>
      <c r="C603" s="50" t="s">
        <v>62</v>
      </c>
      <c r="D603" s="50" t="s">
        <v>43</v>
      </c>
      <c r="E603" s="50" t="s">
        <v>846</v>
      </c>
      <c r="F603" s="50" t="s">
        <v>20</v>
      </c>
      <c r="G603" s="204">
        <v>0</v>
      </c>
      <c r="H603" s="204"/>
      <c r="I603" s="207" t="e">
        <f t="shared" ref="I603:I666" si="97">H603/G603</f>
        <v>#DIV/0!</v>
      </c>
      <c r="J603" s="13"/>
      <c r="K603" s="43"/>
      <c r="L603" s="43"/>
      <c r="M603" s="43"/>
      <c r="N603" s="57"/>
      <c r="O603" s="57"/>
      <c r="P603" s="57"/>
    </row>
    <row r="604" spans="2:16" s="6" customFormat="1" ht="38.25" hidden="1">
      <c r="B604" s="15" t="s">
        <v>858</v>
      </c>
      <c r="C604" s="50" t="s">
        <v>62</v>
      </c>
      <c r="D604" s="50" t="s">
        <v>43</v>
      </c>
      <c r="E604" s="50" t="s">
        <v>851</v>
      </c>
      <c r="F604" s="50"/>
      <c r="G604" s="204">
        <f>G605+G606</f>
        <v>0</v>
      </c>
      <c r="H604" s="204"/>
      <c r="I604" s="207" t="e">
        <f t="shared" si="97"/>
        <v>#DIV/0!</v>
      </c>
      <c r="J604" s="13"/>
      <c r="K604" s="43"/>
      <c r="L604" s="43"/>
      <c r="M604" s="43"/>
      <c r="N604" s="57"/>
      <c r="O604" s="57"/>
      <c r="P604" s="57"/>
    </row>
    <row r="605" spans="2:16" s="6" customFormat="1" ht="25.5" hidden="1">
      <c r="B605" s="15" t="s">
        <v>509</v>
      </c>
      <c r="C605" s="50" t="s">
        <v>62</v>
      </c>
      <c r="D605" s="50" t="s">
        <v>43</v>
      </c>
      <c r="E605" s="50" t="s">
        <v>851</v>
      </c>
      <c r="F605" s="50" t="s">
        <v>20</v>
      </c>
      <c r="G605" s="204">
        <v>0</v>
      </c>
      <c r="H605" s="204"/>
      <c r="I605" s="207" t="e">
        <f t="shared" si="97"/>
        <v>#DIV/0!</v>
      </c>
      <c r="J605" s="13"/>
      <c r="K605" s="43"/>
      <c r="L605" s="43"/>
      <c r="M605" s="43"/>
      <c r="N605" s="57"/>
      <c r="O605" s="57"/>
      <c r="P605" s="57"/>
    </row>
    <row r="606" spans="2:16" s="6" customFormat="1" ht="25.5" hidden="1">
      <c r="B606" s="15" t="s">
        <v>504</v>
      </c>
      <c r="C606" s="50" t="s">
        <v>62</v>
      </c>
      <c r="D606" s="50" t="s">
        <v>43</v>
      </c>
      <c r="E606" s="50" t="s">
        <v>851</v>
      </c>
      <c r="F606" s="50" t="s">
        <v>20</v>
      </c>
      <c r="G606" s="204">
        <v>0</v>
      </c>
      <c r="H606" s="204"/>
      <c r="I606" s="207" t="e">
        <f t="shared" si="97"/>
        <v>#DIV/0!</v>
      </c>
      <c r="J606" s="13"/>
      <c r="K606" s="43"/>
      <c r="L606" s="43"/>
      <c r="M606" s="43"/>
      <c r="N606" s="57"/>
      <c r="O606" s="57"/>
      <c r="P606" s="57"/>
    </row>
    <row r="607" spans="2:16" ht="51">
      <c r="B607" s="74" t="s">
        <v>896</v>
      </c>
      <c r="C607" s="11" t="s">
        <v>62</v>
      </c>
      <c r="D607" s="11" t="s">
        <v>43</v>
      </c>
      <c r="E607" s="11" t="s">
        <v>606</v>
      </c>
      <c r="F607" s="11"/>
      <c r="G607" s="203">
        <f>G608</f>
        <v>11093</v>
      </c>
      <c r="H607" s="203">
        <v>11093</v>
      </c>
      <c r="I607" s="207">
        <f t="shared" si="97"/>
        <v>1</v>
      </c>
      <c r="J607" s="42"/>
      <c r="K607" s="43">
        <f t="shared" si="91"/>
        <v>0</v>
      </c>
      <c r="L607" s="43">
        <f t="shared" si="92"/>
        <v>0</v>
      </c>
      <c r="M607" s="43">
        <f t="shared" si="93"/>
        <v>0</v>
      </c>
      <c r="N607" s="57">
        <f t="shared" si="94"/>
        <v>0</v>
      </c>
      <c r="O607" s="57">
        <f t="shared" si="95"/>
        <v>0</v>
      </c>
      <c r="P607" s="57">
        <f t="shared" si="96"/>
        <v>0</v>
      </c>
    </row>
    <row r="608" spans="2:16" ht="25.5">
      <c r="B608" s="15" t="s">
        <v>610</v>
      </c>
      <c r="C608" s="50" t="s">
        <v>62</v>
      </c>
      <c r="D608" s="50" t="s">
        <v>43</v>
      </c>
      <c r="E608" s="50" t="s">
        <v>607</v>
      </c>
      <c r="F608" s="50"/>
      <c r="G608" s="204">
        <f>G609</f>
        <v>11093</v>
      </c>
      <c r="H608" s="204">
        <v>11093</v>
      </c>
      <c r="I608" s="212">
        <f t="shared" si="97"/>
        <v>1</v>
      </c>
      <c r="J608" s="42"/>
      <c r="K608" s="43">
        <f t="shared" si="91"/>
        <v>0</v>
      </c>
      <c r="L608" s="43">
        <f t="shared" si="92"/>
        <v>0</v>
      </c>
      <c r="M608" s="43">
        <f t="shared" si="93"/>
        <v>0</v>
      </c>
      <c r="N608" s="57">
        <f t="shared" si="94"/>
        <v>0</v>
      </c>
      <c r="O608" s="57">
        <f t="shared" si="95"/>
        <v>0</v>
      </c>
      <c r="P608" s="57">
        <f t="shared" si="96"/>
        <v>0</v>
      </c>
    </row>
    <row r="609" spans="2:16" ht="25.5">
      <c r="B609" s="15" t="s">
        <v>609</v>
      </c>
      <c r="C609" s="50" t="s">
        <v>62</v>
      </c>
      <c r="D609" s="50" t="s">
        <v>43</v>
      </c>
      <c r="E609" s="50" t="s">
        <v>608</v>
      </c>
      <c r="F609" s="50"/>
      <c r="G609" s="204">
        <f>SUM(G610:G611)</f>
        <v>11093</v>
      </c>
      <c r="H609" s="204">
        <v>11093</v>
      </c>
      <c r="I609" s="212">
        <f t="shared" si="97"/>
        <v>1</v>
      </c>
      <c r="J609" s="42"/>
      <c r="K609" s="43">
        <f t="shared" si="91"/>
        <v>0</v>
      </c>
      <c r="L609" s="43">
        <f t="shared" si="92"/>
        <v>0</v>
      </c>
      <c r="M609" s="43">
        <f t="shared" si="93"/>
        <v>0</v>
      </c>
      <c r="N609" s="57">
        <f t="shared" si="94"/>
        <v>0</v>
      </c>
      <c r="O609" s="57">
        <f t="shared" si="95"/>
        <v>0</v>
      </c>
      <c r="P609" s="57">
        <f t="shared" si="96"/>
        <v>0</v>
      </c>
    </row>
    <row r="610" spans="2:16" ht="51">
      <c r="B610" s="15" t="s">
        <v>678</v>
      </c>
      <c r="C610" s="50" t="s">
        <v>62</v>
      </c>
      <c r="D610" s="50" t="s">
        <v>43</v>
      </c>
      <c r="E610" s="50" t="s">
        <v>608</v>
      </c>
      <c r="F610" s="50" t="s">
        <v>18</v>
      </c>
      <c r="G610" s="204">
        <v>8886.6</v>
      </c>
      <c r="H610" s="204">
        <v>8886.6</v>
      </c>
      <c r="I610" s="212">
        <f t="shared" si="97"/>
        <v>1</v>
      </c>
      <c r="J610" s="42">
        <v>2</v>
      </c>
      <c r="K610" s="43">
        <f t="shared" si="91"/>
        <v>0</v>
      </c>
      <c r="L610" s="43">
        <f t="shared" si="92"/>
        <v>0</v>
      </c>
      <c r="M610" s="43">
        <f t="shared" si="93"/>
        <v>0</v>
      </c>
      <c r="N610" s="57">
        <f t="shared" si="94"/>
        <v>8886.6</v>
      </c>
      <c r="O610" s="57">
        <f t="shared" si="95"/>
        <v>8886.6</v>
      </c>
      <c r="P610" s="57">
        <f t="shared" si="96"/>
        <v>1</v>
      </c>
    </row>
    <row r="611" spans="2:16" ht="25.5">
      <c r="B611" s="15" t="s">
        <v>559</v>
      </c>
      <c r="C611" s="50" t="s">
        <v>62</v>
      </c>
      <c r="D611" s="50" t="s">
        <v>43</v>
      </c>
      <c r="E611" s="50" t="s">
        <v>608</v>
      </c>
      <c r="F611" s="50" t="s">
        <v>31</v>
      </c>
      <c r="G611" s="204">
        <v>2206.4</v>
      </c>
      <c r="H611" s="204">
        <v>2206.4</v>
      </c>
      <c r="I611" s="212">
        <f t="shared" si="97"/>
        <v>1</v>
      </c>
      <c r="J611" s="42">
        <v>2</v>
      </c>
      <c r="K611" s="43">
        <f t="shared" si="91"/>
        <v>0</v>
      </c>
      <c r="L611" s="43">
        <f t="shared" si="92"/>
        <v>0</v>
      </c>
      <c r="M611" s="43">
        <f t="shared" si="93"/>
        <v>0</v>
      </c>
      <c r="N611" s="57">
        <f t="shared" si="94"/>
        <v>2206.4</v>
      </c>
      <c r="O611" s="57">
        <f t="shared" si="95"/>
        <v>2206.4</v>
      </c>
      <c r="P611" s="57">
        <f t="shared" si="96"/>
        <v>1</v>
      </c>
    </row>
    <row r="612" spans="2:16" ht="38.25">
      <c r="B612" s="74" t="s">
        <v>624</v>
      </c>
      <c r="C612" s="11" t="s">
        <v>62</v>
      </c>
      <c r="D612" s="11" t="s">
        <v>43</v>
      </c>
      <c r="E612" s="11" t="s">
        <v>625</v>
      </c>
      <c r="F612" s="11"/>
      <c r="G612" s="203">
        <f>G613+G620</f>
        <v>14920.5</v>
      </c>
      <c r="H612" s="203">
        <v>12776.1</v>
      </c>
      <c r="I612" s="207">
        <f t="shared" si="97"/>
        <v>0.8562782748567408</v>
      </c>
      <c r="J612" s="42"/>
      <c r="K612" s="43">
        <f t="shared" si="91"/>
        <v>0</v>
      </c>
      <c r="L612" s="43">
        <f t="shared" si="92"/>
        <v>0</v>
      </c>
      <c r="M612" s="43">
        <f t="shared" si="93"/>
        <v>0</v>
      </c>
      <c r="N612" s="57">
        <f t="shared" si="94"/>
        <v>0</v>
      </c>
      <c r="O612" s="57">
        <f t="shared" si="95"/>
        <v>0</v>
      </c>
      <c r="P612" s="57">
        <f t="shared" si="96"/>
        <v>0</v>
      </c>
    </row>
    <row r="613" spans="2:16">
      <c r="B613" s="15" t="s">
        <v>626</v>
      </c>
      <c r="C613" s="50" t="s">
        <v>62</v>
      </c>
      <c r="D613" s="50" t="s">
        <v>43</v>
      </c>
      <c r="E613" s="50" t="s">
        <v>628</v>
      </c>
      <c r="F613" s="50"/>
      <c r="G613" s="204">
        <f>G614+G615+G616+G617+G618+G619</f>
        <v>8810.7000000000007</v>
      </c>
      <c r="H613" s="204">
        <v>8038.2</v>
      </c>
      <c r="I613" s="212">
        <f t="shared" si="97"/>
        <v>0.91232251693963018</v>
      </c>
      <c r="J613" s="42"/>
      <c r="K613" s="43">
        <f t="shared" si="91"/>
        <v>0</v>
      </c>
      <c r="L613" s="43">
        <f t="shared" si="92"/>
        <v>0</v>
      </c>
      <c r="M613" s="43">
        <f t="shared" si="93"/>
        <v>0</v>
      </c>
      <c r="N613" s="57">
        <f t="shared" si="94"/>
        <v>0</v>
      </c>
      <c r="O613" s="57">
        <f t="shared" si="95"/>
        <v>0</v>
      </c>
      <c r="P613" s="57">
        <f t="shared" si="96"/>
        <v>0</v>
      </c>
    </row>
    <row r="614" spans="2:16" ht="25.5">
      <c r="B614" s="15" t="s">
        <v>504</v>
      </c>
      <c r="C614" s="50" t="s">
        <v>62</v>
      </c>
      <c r="D614" s="50" t="s">
        <v>43</v>
      </c>
      <c r="E614" s="50" t="s">
        <v>634</v>
      </c>
      <c r="F614" s="50" t="s">
        <v>20</v>
      </c>
      <c r="G614" s="204">
        <f>1292.4-1292.4+1296.9+0.1+33.9-30.3</f>
        <v>1300.6000000000001</v>
      </c>
      <c r="H614" s="204"/>
      <c r="I614" s="212">
        <f t="shared" si="97"/>
        <v>0</v>
      </c>
      <c r="J614" s="42">
        <v>1</v>
      </c>
      <c r="K614" s="43">
        <f t="shared" si="91"/>
        <v>1300.6000000000001</v>
      </c>
      <c r="L614" s="43">
        <f t="shared" si="92"/>
        <v>0</v>
      </c>
      <c r="M614" s="43">
        <f t="shared" si="93"/>
        <v>0</v>
      </c>
      <c r="N614" s="57">
        <f t="shared" si="94"/>
        <v>0</v>
      </c>
      <c r="O614" s="57">
        <f t="shared" si="95"/>
        <v>0</v>
      </c>
      <c r="P614" s="57">
        <f t="shared" si="96"/>
        <v>0</v>
      </c>
    </row>
    <row r="615" spans="2:16" ht="25.5">
      <c r="B615" s="15" t="s">
        <v>509</v>
      </c>
      <c r="C615" s="50" t="s">
        <v>62</v>
      </c>
      <c r="D615" s="50" t="s">
        <v>43</v>
      </c>
      <c r="E615" s="50" t="s">
        <v>634</v>
      </c>
      <c r="F615" s="50" t="s">
        <v>20</v>
      </c>
      <c r="G615" s="204">
        <f>3914.9-3914.9+3928.4+104.1-32.7</f>
        <v>3999.8</v>
      </c>
      <c r="H615" s="204">
        <v>5096.1000000000004</v>
      </c>
      <c r="I615" s="212">
        <f t="shared" si="97"/>
        <v>1.2740887044352218</v>
      </c>
      <c r="J615" s="42">
        <v>2</v>
      </c>
      <c r="K615" s="43">
        <f t="shared" si="91"/>
        <v>0</v>
      </c>
      <c r="L615" s="43">
        <f t="shared" si="92"/>
        <v>0</v>
      </c>
      <c r="M615" s="43">
        <f t="shared" si="93"/>
        <v>0</v>
      </c>
      <c r="N615" s="57">
        <f t="shared" si="94"/>
        <v>3999.8</v>
      </c>
      <c r="O615" s="57">
        <f t="shared" si="95"/>
        <v>5096.1000000000004</v>
      </c>
      <c r="P615" s="57">
        <f t="shared" si="96"/>
        <v>1.2740887044352218</v>
      </c>
    </row>
    <row r="616" spans="2:16" ht="25.5">
      <c r="B616" s="15" t="s">
        <v>554</v>
      </c>
      <c r="C616" s="50" t="s">
        <v>62</v>
      </c>
      <c r="D616" s="50" t="s">
        <v>43</v>
      </c>
      <c r="E616" s="50" t="s">
        <v>634</v>
      </c>
      <c r="F616" s="50" t="s">
        <v>31</v>
      </c>
      <c r="G616" s="204">
        <f>786.5+0.1-33.9+30.3</f>
        <v>783</v>
      </c>
      <c r="H616" s="204">
        <v>600.70000000000005</v>
      </c>
      <c r="I616" s="212">
        <f t="shared" si="97"/>
        <v>0.76717752234993619</v>
      </c>
      <c r="J616" s="42">
        <v>1</v>
      </c>
      <c r="K616" s="43">
        <f t="shared" si="91"/>
        <v>783</v>
      </c>
      <c r="L616" s="43">
        <f t="shared" si="92"/>
        <v>600.70000000000005</v>
      </c>
      <c r="M616" s="43">
        <f t="shared" si="93"/>
        <v>0.76717752234993619</v>
      </c>
      <c r="N616" s="57">
        <f t="shared" si="94"/>
        <v>0</v>
      </c>
      <c r="O616" s="57">
        <f t="shared" si="95"/>
        <v>0</v>
      </c>
      <c r="P616" s="57">
        <f t="shared" si="96"/>
        <v>0</v>
      </c>
    </row>
    <row r="617" spans="2:16" ht="25.5">
      <c r="B617" s="15" t="s">
        <v>559</v>
      </c>
      <c r="C617" s="50" t="s">
        <v>62</v>
      </c>
      <c r="D617" s="50" t="s">
        <v>43</v>
      </c>
      <c r="E617" s="50" t="s">
        <v>634</v>
      </c>
      <c r="F617" s="50" t="s">
        <v>31</v>
      </c>
      <c r="G617" s="204">
        <f>2464.6-104.1+32.7</f>
        <v>2393.1999999999998</v>
      </c>
      <c r="H617" s="204">
        <v>2097</v>
      </c>
      <c r="I617" s="212">
        <f t="shared" si="97"/>
        <v>0.87623265920106974</v>
      </c>
      <c r="J617" s="42">
        <v>2</v>
      </c>
      <c r="K617" s="43">
        <f t="shared" si="91"/>
        <v>0</v>
      </c>
      <c r="L617" s="43">
        <f t="shared" si="92"/>
        <v>0</v>
      </c>
      <c r="M617" s="43">
        <f t="shared" si="93"/>
        <v>0</v>
      </c>
      <c r="N617" s="57">
        <f t="shared" si="94"/>
        <v>2393.1999999999998</v>
      </c>
      <c r="O617" s="57">
        <f t="shared" si="95"/>
        <v>2097</v>
      </c>
      <c r="P617" s="57">
        <f t="shared" si="96"/>
        <v>0.87623265920106974</v>
      </c>
    </row>
    <row r="618" spans="2:16" ht="25.5">
      <c r="B618" s="15" t="s">
        <v>504</v>
      </c>
      <c r="C618" s="50" t="s">
        <v>62</v>
      </c>
      <c r="D618" s="50" t="s">
        <v>43</v>
      </c>
      <c r="E618" s="50" t="s">
        <v>637</v>
      </c>
      <c r="F618" s="50" t="s">
        <v>20</v>
      </c>
      <c r="G618" s="204">
        <f>206.1+10</f>
        <v>216.1</v>
      </c>
      <c r="H618" s="204">
        <v>159.80000000000001</v>
      </c>
      <c r="I618" s="212">
        <f t="shared" si="97"/>
        <v>0.73947246645071729</v>
      </c>
      <c r="J618" s="42">
        <v>1</v>
      </c>
      <c r="K618" s="43">
        <f t="shared" si="91"/>
        <v>216.1</v>
      </c>
      <c r="L618" s="43">
        <f t="shared" si="92"/>
        <v>159.80000000000001</v>
      </c>
      <c r="M618" s="43">
        <f t="shared" si="93"/>
        <v>0.73947246645071729</v>
      </c>
      <c r="N618" s="57">
        <f t="shared" si="94"/>
        <v>0</v>
      </c>
      <c r="O618" s="57">
        <f t="shared" si="95"/>
        <v>0</v>
      </c>
      <c r="P618" s="57">
        <f t="shared" si="96"/>
        <v>0</v>
      </c>
    </row>
    <row r="619" spans="2:16" ht="25.5">
      <c r="B619" s="15" t="s">
        <v>554</v>
      </c>
      <c r="C619" s="50" t="s">
        <v>62</v>
      </c>
      <c r="D619" s="50" t="s">
        <v>43</v>
      </c>
      <c r="E619" s="50" t="s">
        <v>637</v>
      </c>
      <c r="F619" s="50" t="s">
        <v>31</v>
      </c>
      <c r="G619" s="204">
        <f>128-10</f>
        <v>118</v>
      </c>
      <c r="H619" s="204">
        <v>84.6</v>
      </c>
      <c r="I619" s="212">
        <f t="shared" si="97"/>
        <v>0.71694915254237279</v>
      </c>
      <c r="J619" s="42">
        <v>1</v>
      </c>
      <c r="K619" s="43">
        <f t="shared" si="91"/>
        <v>118</v>
      </c>
      <c r="L619" s="43">
        <f t="shared" si="92"/>
        <v>84.6</v>
      </c>
      <c r="M619" s="43">
        <f t="shared" si="93"/>
        <v>0.71694915254237279</v>
      </c>
      <c r="N619" s="57">
        <f t="shared" si="94"/>
        <v>0</v>
      </c>
      <c r="O619" s="57">
        <f t="shared" si="95"/>
        <v>0</v>
      </c>
      <c r="P619" s="57">
        <f t="shared" si="96"/>
        <v>0</v>
      </c>
    </row>
    <row r="620" spans="2:16" ht="25.5">
      <c r="B620" s="15" t="s">
        <v>627</v>
      </c>
      <c r="C620" s="50" t="s">
        <v>62</v>
      </c>
      <c r="D620" s="50" t="s">
        <v>43</v>
      </c>
      <c r="E620" s="50" t="s">
        <v>629</v>
      </c>
      <c r="F620" s="50"/>
      <c r="G620" s="204">
        <f>G621+G623+G622+G624+G625+G626</f>
        <v>6109.8</v>
      </c>
      <c r="H620" s="204">
        <v>4737.8999999999996</v>
      </c>
      <c r="I620" s="212">
        <f t="shared" si="97"/>
        <v>0.77545909849749572</v>
      </c>
      <c r="J620" s="42"/>
      <c r="K620" s="43">
        <f t="shared" si="91"/>
        <v>0</v>
      </c>
      <c r="L620" s="43">
        <f t="shared" si="92"/>
        <v>0</v>
      </c>
      <c r="M620" s="43">
        <f t="shared" si="93"/>
        <v>0</v>
      </c>
      <c r="N620" s="57">
        <f t="shared" si="94"/>
        <v>0</v>
      </c>
      <c r="O620" s="57">
        <f t="shared" si="95"/>
        <v>0</v>
      </c>
      <c r="P620" s="57">
        <f t="shared" si="96"/>
        <v>0</v>
      </c>
    </row>
    <row r="621" spans="2:16" ht="25.5">
      <c r="B621" s="15" t="s">
        <v>504</v>
      </c>
      <c r="C621" s="50" t="s">
        <v>62</v>
      </c>
      <c r="D621" s="50" t="s">
        <v>43</v>
      </c>
      <c r="E621" s="50" t="s">
        <v>630</v>
      </c>
      <c r="F621" s="50" t="s">
        <v>20</v>
      </c>
      <c r="G621" s="204">
        <f>1213.8+157</f>
        <v>1370.8</v>
      </c>
      <c r="H621" s="204">
        <v>912.3</v>
      </c>
      <c r="I621" s="212">
        <f t="shared" si="97"/>
        <v>0.66552378173329441</v>
      </c>
      <c r="J621" s="42">
        <v>1</v>
      </c>
      <c r="K621" s="43">
        <f t="shared" si="91"/>
        <v>1370.8</v>
      </c>
      <c r="L621" s="43">
        <f t="shared" si="92"/>
        <v>912.3</v>
      </c>
      <c r="M621" s="43">
        <f t="shared" si="93"/>
        <v>0.66552378173329441</v>
      </c>
      <c r="N621" s="57">
        <f t="shared" si="94"/>
        <v>0</v>
      </c>
      <c r="O621" s="57">
        <f t="shared" si="95"/>
        <v>0</v>
      </c>
      <c r="P621" s="57">
        <f t="shared" si="96"/>
        <v>0</v>
      </c>
    </row>
    <row r="622" spans="2:16" ht="25.5">
      <c r="B622" s="15" t="s">
        <v>509</v>
      </c>
      <c r="C622" s="50" t="s">
        <v>62</v>
      </c>
      <c r="D622" s="50" t="s">
        <v>43</v>
      </c>
      <c r="E622" s="50" t="s">
        <v>635</v>
      </c>
      <c r="F622" s="50" t="s">
        <v>20</v>
      </c>
      <c r="G622" s="204">
        <f>2826.4+844.3-120-258.3</f>
        <v>3292.3999999999996</v>
      </c>
      <c r="H622" s="204">
        <v>2482.1999999999998</v>
      </c>
      <c r="I622" s="212">
        <f t="shared" si="97"/>
        <v>0.75391811444538936</v>
      </c>
      <c r="J622" s="42">
        <v>2</v>
      </c>
      <c r="K622" s="43">
        <f t="shared" si="91"/>
        <v>0</v>
      </c>
      <c r="L622" s="43">
        <f t="shared" si="92"/>
        <v>0</v>
      </c>
      <c r="M622" s="43">
        <f t="shared" si="93"/>
        <v>0</v>
      </c>
      <c r="N622" s="57">
        <f t="shared" si="94"/>
        <v>3292.3999999999996</v>
      </c>
      <c r="O622" s="57">
        <f t="shared" si="95"/>
        <v>2482.1999999999998</v>
      </c>
      <c r="P622" s="57">
        <f t="shared" si="96"/>
        <v>0.75391811444538936</v>
      </c>
    </row>
    <row r="623" spans="2:16" ht="25.5">
      <c r="B623" s="15" t="s">
        <v>554</v>
      </c>
      <c r="C623" s="50" t="s">
        <v>62</v>
      </c>
      <c r="D623" s="50" t="s">
        <v>43</v>
      </c>
      <c r="E623" s="50" t="s">
        <v>631</v>
      </c>
      <c r="F623" s="50" t="s">
        <v>31</v>
      </c>
      <c r="G623" s="204">
        <f>1020-157-429</f>
        <v>434</v>
      </c>
      <c r="H623" s="204">
        <v>434</v>
      </c>
      <c r="I623" s="212">
        <f t="shared" si="97"/>
        <v>1</v>
      </c>
      <c r="J623" s="42">
        <v>1</v>
      </c>
      <c r="K623" s="43">
        <f t="shared" si="91"/>
        <v>434</v>
      </c>
      <c r="L623" s="43">
        <f t="shared" si="92"/>
        <v>434</v>
      </c>
      <c r="M623" s="43">
        <f t="shared" si="93"/>
        <v>1</v>
      </c>
      <c r="N623" s="57">
        <f t="shared" si="94"/>
        <v>0</v>
      </c>
      <c r="O623" s="57">
        <f t="shared" si="95"/>
        <v>0</v>
      </c>
      <c r="P623" s="57">
        <f t="shared" si="96"/>
        <v>0</v>
      </c>
    </row>
    <row r="624" spans="2:16" ht="25.5">
      <c r="B624" s="15" t="s">
        <v>559</v>
      </c>
      <c r="C624" s="50" t="s">
        <v>62</v>
      </c>
      <c r="D624" s="50" t="s">
        <v>43</v>
      </c>
      <c r="E624" s="50" t="s">
        <v>635</v>
      </c>
      <c r="F624" s="50" t="s">
        <v>31</v>
      </c>
      <c r="G624" s="204">
        <f>2421.4-844.3-585.6+120-98.9</f>
        <v>1012.6</v>
      </c>
      <c r="H624" s="204">
        <v>909.4</v>
      </c>
      <c r="I624" s="212">
        <f t="shared" si="97"/>
        <v>0.8980841398380407</v>
      </c>
      <c r="J624" s="42">
        <v>2</v>
      </c>
      <c r="K624" s="43">
        <f t="shared" si="91"/>
        <v>0</v>
      </c>
      <c r="L624" s="43">
        <f t="shared" si="92"/>
        <v>0</v>
      </c>
      <c r="M624" s="43">
        <f t="shared" si="93"/>
        <v>0</v>
      </c>
      <c r="N624" s="57">
        <f t="shared" si="94"/>
        <v>1012.6</v>
      </c>
      <c r="O624" s="57">
        <f t="shared" si="95"/>
        <v>909.4</v>
      </c>
      <c r="P624" s="57">
        <f t="shared" si="96"/>
        <v>0.8980841398380407</v>
      </c>
    </row>
    <row r="625" spans="2:16" ht="25.5" hidden="1">
      <c r="B625" s="15" t="s">
        <v>504</v>
      </c>
      <c r="C625" s="50" t="s">
        <v>62</v>
      </c>
      <c r="D625" s="50" t="s">
        <v>43</v>
      </c>
      <c r="E625" s="50" t="s">
        <v>638</v>
      </c>
      <c r="F625" s="50" t="s">
        <v>20</v>
      </c>
      <c r="G625" s="204">
        <v>0</v>
      </c>
      <c r="H625" s="204"/>
      <c r="I625" s="212" t="e">
        <f t="shared" si="97"/>
        <v>#DIV/0!</v>
      </c>
      <c r="J625" s="42">
        <v>1</v>
      </c>
      <c r="K625" s="43">
        <f t="shared" si="91"/>
        <v>0</v>
      </c>
      <c r="L625" s="43">
        <f t="shared" si="92"/>
        <v>0</v>
      </c>
      <c r="M625" s="43" t="e">
        <f t="shared" si="93"/>
        <v>#DIV/0!</v>
      </c>
      <c r="N625" s="57">
        <f t="shared" si="94"/>
        <v>0</v>
      </c>
      <c r="O625" s="57">
        <f t="shared" si="95"/>
        <v>0</v>
      </c>
      <c r="P625" s="57">
        <f t="shared" si="96"/>
        <v>0</v>
      </c>
    </row>
    <row r="626" spans="2:16" ht="25.5" hidden="1">
      <c r="B626" s="15" t="s">
        <v>554</v>
      </c>
      <c r="C626" s="50" t="s">
        <v>62</v>
      </c>
      <c r="D626" s="50" t="s">
        <v>43</v>
      </c>
      <c r="E626" s="50" t="s">
        <v>638</v>
      </c>
      <c r="F626" s="50" t="s">
        <v>31</v>
      </c>
      <c r="G626" s="204">
        <v>0</v>
      </c>
      <c r="H626" s="204"/>
      <c r="I626" s="212" t="e">
        <f t="shared" si="97"/>
        <v>#DIV/0!</v>
      </c>
      <c r="J626" s="42">
        <v>1</v>
      </c>
      <c r="K626" s="43">
        <f t="shared" si="91"/>
        <v>0</v>
      </c>
      <c r="L626" s="43">
        <f t="shared" si="92"/>
        <v>0</v>
      </c>
      <c r="M626" s="43" t="e">
        <f t="shared" si="93"/>
        <v>#DIV/0!</v>
      </c>
      <c r="N626" s="57">
        <f t="shared" si="94"/>
        <v>0</v>
      </c>
      <c r="O626" s="57">
        <f t="shared" si="95"/>
        <v>0</v>
      </c>
      <c r="P626" s="57">
        <f t="shared" si="96"/>
        <v>0</v>
      </c>
    </row>
    <row r="627" spans="2:16" ht="14.25" customHeight="1">
      <c r="B627" s="15" t="s">
        <v>78</v>
      </c>
      <c r="C627" s="50" t="s">
        <v>62</v>
      </c>
      <c r="D627" s="50" t="s">
        <v>43</v>
      </c>
      <c r="E627" s="50" t="s">
        <v>139</v>
      </c>
      <c r="F627" s="50"/>
      <c r="G627" s="204">
        <f>G639+G663+G680+G686+G628+G656+G631+G633+G635+G637+G688+G641+G683+G690+G693+G696+G699+G702+G707</f>
        <v>154198.39999999999</v>
      </c>
      <c r="H627" s="204">
        <v>140842.20000000001</v>
      </c>
      <c r="I627" s="212">
        <f t="shared" si="97"/>
        <v>0.91338301824143453</v>
      </c>
      <c r="J627" s="42"/>
      <c r="K627" s="43">
        <f t="shared" si="91"/>
        <v>0</v>
      </c>
      <c r="L627" s="43">
        <f t="shared" si="92"/>
        <v>0</v>
      </c>
      <c r="M627" s="43">
        <f t="shared" si="93"/>
        <v>0</v>
      </c>
      <c r="N627" s="57">
        <f t="shared" si="94"/>
        <v>0</v>
      </c>
      <c r="O627" s="57">
        <f t="shared" si="95"/>
        <v>0</v>
      </c>
      <c r="P627" s="57">
        <f t="shared" si="96"/>
        <v>0</v>
      </c>
    </row>
    <row r="628" spans="2:16" ht="14.25" customHeight="1">
      <c r="B628" s="15" t="s">
        <v>105</v>
      </c>
      <c r="C628" s="50" t="s">
        <v>62</v>
      </c>
      <c r="D628" s="50" t="s">
        <v>43</v>
      </c>
      <c r="E628" s="50" t="s">
        <v>148</v>
      </c>
      <c r="F628" s="50"/>
      <c r="G628" s="204">
        <f>G629+G630</f>
        <v>21538.399999999998</v>
      </c>
      <c r="H628" s="204">
        <v>16727.2</v>
      </c>
      <c r="I628" s="212">
        <f t="shared" si="97"/>
        <v>0.77662221892062555</v>
      </c>
      <c r="J628" s="42"/>
      <c r="K628" s="43">
        <f t="shared" si="91"/>
        <v>0</v>
      </c>
      <c r="L628" s="43">
        <f t="shared" si="92"/>
        <v>0</v>
      </c>
      <c r="M628" s="43">
        <f t="shared" si="93"/>
        <v>0</v>
      </c>
      <c r="N628" s="57">
        <f t="shared" si="94"/>
        <v>0</v>
      </c>
      <c r="O628" s="57">
        <f t="shared" si="95"/>
        <v>0</v>
      </c>
      <c r="P628" s="57">
        <f t="shared" si="96"/>
        <v>0</v>
      </c>
    </row>
    <row r="629" spans="2:16" ht="38.25">
      <c r="B629" s="15" t="s">
        <v>17</v>
      </c>
      <c r="C629" s="50" t="s">
        <v>62</v>
      </c>
      <c r="D629" s="50" t="s">
        <v>43</v>
      </c>
      <c r="E629" s="50" t="s">
        <v>148</v>
      </c>
      <c r="F629" s="50" t="s">
        <v>18</v>
      </c>
      <c r="G629" s="204">
        <f>230+69.5</f>
        <v>299.5</v>
      </c>
      <c r="H629" s="204">
        <v>205.5</v>
      </c>
      <c r="I629" s="212">
        <f t="shared" si="97"/>
        <v>0.68614357262103509</v>
      </c>
      <c r="J629" s="42">
        <v>1</v>
      </c>
      <c r="K629" s="43">
        <f t="shared" ref="K629:K692" si="98">SUMIF(J629,1,G629)</f>
        <v>299.5</v>
      </c>
      <c r="L629" s="43">
        <f t="shared" ref="L629:L692" si="99">SUMIF(J629,1,H629)</f>
        <v>205.5</v>
      </c>
      <c r="M629" s="43">
        <f t="shared" ref="M629:M692" si="100">SUMIF(J629,1,I629)</f>
        <v>0.68614357262103509</v>
      </c>
      <c r="N629" s="57">
        <f t="shared" ref="N629:N692" si="101">SUMIF(J629,2,G629)</f>
        <v>0</v>
      </c>
      <c r="O629" s="57">
        <f t="shared" ref="O629:O692" si="102">SUMIF(J629,2,H629)</f>
        <v>0</v>
      </c>
      <c r="P629" s="57">
        <f t="shared" ref="P629:P692" si="103">SUMIF(J629,2,I629)</f>
        <v>0</v>
      </c>
    </row>
    <row r="630" spans="2:16">
      <c r="B630" s="15" t="s">
        <v>19</v>
      </c>
      <c r="C630" s="50" t="s">
        <v>62</v>
      </c>
      <c r="D630" s="50" t="s">
        <v>43</v>
      </c>
      <c r="E630" s="50" t="s">
        <v>148</v>
      </c>
      <c r="F630" s="50" t="s">
        <v>20</v>
      </c>
      <c r="G630" s="204">
        <f>321.3+15603.3-1-4.4+93.8+3.6+457.2+10+111+57+2+469-5.3-8.6-0.9+47+114-21+32.5+436+17.6-281.9+1056.5+16.9+13+62+464+2218.3-95-4+40+15</f>
        <v>21238.899999999998</v>
      </c>
      <c r="H630" s="204">
        <v>16521.7</v>
      </c>
      <c r="I630" s="212">
        <f t="shared" si="97"/>
        <v>0.77789810206743304</v>
      </c>
      <c r="J630" s="42">
        <v>1</v>
      </c>
      <c r="K630" s="43">
        <f t="shared" si="98"/>
        <v>21238.899999999998</v>
      </c>
      <c r="L630" s="43">
        <f t="shared" si="99"/>
        <v>16521.7</v>
      </c>
      <c r="M630" s="43">
        <f t="shared" si="100"/>
        <v>0.77789810206743304</v>
      </c>
      <c r="N630" s="57">
        <f t="shared" si="101"/>
        <v>0</v>
      </c>
      <c r="O630" s="57">
        <f t="shared" si="102"/>
        <v>0</v>
      </c>
      <c r="P630" s="57">
        <f t="shared" si="103"/>
        <v>0</v>
      </c>
    </row>
    <row r="631" spans="2:16">
      <c r="B631" s="15" t="s">
        <v>332</v>
      </c>
      <c r="C631" s="50" t="s">
        <v>62</v>
      </c>
      <c r="D631" s="50" t="s">
        <v>43</v>
      </c>
      <c r="E631" s="50" t="s">
        <v>333</v>
      </c>
      <c r="F631" s="50"/>
      <c r="G631" s="204">
        <f>G632</f>
        <v>267.00000000000006</v>
      </c>
      <c r="H631" s="204">
        <v>176.9</v>
      </c>
      <c r="I631" s="212">
        <f t="shared" si="97"/>
        <v>0.66254681647940061</v>
      </c>
      <c r="J631" s="42"/>
      <c r="K631" s="43">
        <f t="shared" si="98"/>
        <v>0</v>
      </c>
      <c r="L631" s="43">
        <f t="shared" si="99"/>
        <v>0</v>
      </c>
      <c r="M631" s="43">
        <f t="shared" si="100"/>
        <v>0</v>
      </c>
      <c r="N631" s="57">
        <f t="shared" si="101"/>
        <v>0</v>
      </c>
      <c r="O631" s="57">
        <f t="shared" si="102"/>
        <v>0</v>
      </c>
      <c r="P631" s="57">
        <f t="shared" si="103"/>
        <v>0</v>
      </c>
    </row>
    <row r="632" spans="2:16">
      <c r="B632" s="15" t="s">
        <v>19</v>
      </c>
      <c r="C632" s="50" t="s">
        <v>62</v>
      </c>
      <c r="D632" s="50" t="s">
        <v>43</v>
      </c>
      <c r="E632" s="50" t="s">
        <v>333</v>
      </c>
      <c r="F632" s="50" t="s">
        <v>20</v>
      </c>
      <c r="G632" s="204">
        <f>938.2-590-81.2</f>
        <v>267.00000000000006</v>
      </c>
      <c r="H632" s="117">
        <v>176.9</v>
      </c>
      <c r="I632" s="212">
        <f t="shared" si="97"/>
        <v>0.66254681647940061</v>
      </c>
      <c r="J632" s="42">
        <v>1</v>
      </c>
      <c r="K632" s="43">
        <f t="shared" si="98"/>
        <v>267.00000000000006</v>
      </c>
      <c r="L632" s="43">
        <f t="shared" si="99"/>
        <v>176.9</v>
      </c>
      <c r="M632" s="43">
        <f t="shared" si="100"/>
        <v>0.66254681647940061</v>
      </c>
      <c r="N632" s="57">
        <f t="shared" si="101"/>
        <v>0</v>
      </c>
      <c r="O632" s="57">
        <f t="shared" si="102"/>
        <v>0</v>
      </c>
      <c r="P632" s="57">
        <f t="shared" si="103"/>
        <v>0</v>
      </c>
    </row>
    <row r="633" spans="2:16" ht="25.5">
      <c r="B633" s="15" t="s">
        <v>510</v>
      </c>
      <c r="C633" s="50" t="s">
        <v>62</v>
      </c>
      <c r="D633" s="50" t="s">
        <v>43</v>
      </c>
      <c r="E633" s="50" t="s">
        <v>499</v>
      </c>
      <c r="F633" s="50"/>
      <c r="G633" s="204">
        <f t="shared" ref="G633" si="104">G634</f>
        <v>330.5</v>
      </c>
      <c r="H633" s="204">
        <v>278</v>
      </c>
      <c r="I633" s="212">
        <f t="shared" si="97"/>
        <v>0.84114977307110439</v>
      </c>
      <c r="J633" s="42"/>
      <c r="K633" s="43">
        <f t="shared" si="98"/>
        <v>0</v>
      </c>
      <c r="L633" s="43">
        <f t="shared" si="99"/>
        <v>0</v>
      </c>
      <c r="M633" s="43">
        <f t="shared" si="100"/>
        <v>0</v>
      </c>
      <c r="N633" s="57">
        <f t="shared" si="101"/>
        <v>0</v>
      </c>
      <c r="O633" s="57">
        <f t="shared" si="102"/>
        <v>0</v>
      </c>
      <c r="P633" s="57">
        <f t="shared" si="103"/>
        <v>0</v>
      </c>
    </row>
    <row r="634" spans="2:16">
      <c r="B634" s="15" t="s">
        <v>19</v>
      </c>
      <c r="C634" s="50" t="s">
        <v>62</v>
      </c>
      <c r="D634" s="50" t="s">
        <v>43</v>
      </c>
      <c r="E634" s="50" t="s">
        <v>499</v>
      </c>
      <c r="F634" s="50" t="s">
        <v>20</v>
      </c>
      <c r="G634" s="204">
        <f>187+5.3+126.6+7.6+4</f>
        <v>330.5</v>
      </c>
      <c r="H634" s="117">
        <v>278</v>
      </c>
      <c r="I634" s="212">
        <f t="shared" si="97"/>
        <v>0.84114977307110439</v>
      </c>
      <c r="J634" s="42">
        <v>1</v>
      </c>
      <c r="K634" s="43">
        <f t="shared" si="98"/>
        <v>330.5</v>
      </c>
      <c r="L634" s="43">
        <f t="shared" si="99"/>
        <v>278</v>
      </c>
      <c r="M634" s="43">
        <f t="shared" si="100"/>
        <v>0.84114977307110439</v>
      </c>
      <c r="N634" s="57">
        <f t="shared" si="101"/>
        <v>0</v>
      </c>
      <c r="O634" s="57">
        <f t="shared" si="102"/>
        <v>0</v>
      </c>
      <c r="P634" s="57">
        <f t="shared" si="103"/>
        <v>0</v>
      </c>
    </row>
    <row r="635" spans="2:16" ht="29.25" customHeight="1">
      <c r="B635" s="15" t="s">
        <v>511</v>
      </c>
      <c r="C635" s="50" t="s">
        <v>62</v>
      </c>
      <c r="D635" s="50" t="s">
        <v>43</v>
      </c>
      <c r="E635" s="50" t="s">
        <v>500</v>
      </c>
      <c r="F635" s="50"/>
      <c r="G635" s="204">
        <f t="shared" ref="G635" si="105">G636</f>
        <v>245.9</v>
      </c>
      <c r="H635" s="204">
        <v>201.5</v>
      </c>
      <c r="I635" s="212">
        <f t="shared" si="97"/>
        <v>0.81943879625864169</v>
      </c>
      <c r="J635" s="42"/>
      <c r="K635" s="43">
        <f t="shared" si="98"/>
        <v>0</v>
      </c>
      <c r="L635" s="43">
        <f t="shared" si="99"/>
        <v>0</v>
      </c>
      <c r="M635" s="43">
        <f t="shared" si="100"/>
        <v>0</v>
      </c>
      <c r="N635" s="57">
        <f t="shared" si="101"/>
        <v>0</v>
      </c>
      <c r="O635" s="57">
        <f t="shared" si="102"/>
        <v>0</v>
      </c>
      <c r="P635" s="57">
        <f t="shared" si="103"/>
        <v>0</v>
      </c>
    </row>
    <row r="636" spans="2:16">
      <c r="B636" s="15" t="s">
        <v>19</v>
      </c>
      <c r="C636" s="50" t="s">
        <v>62</v>
      </c>
      <c r="D636" s="50" t="s">
        <v>43</v>
      </c>
      <c r="E636" s="50" t="s">
        <v>500</v>
      </c>
      <c r="F636" s="50" t="s">
        <v>20</v>
      </c>
      <c r="G636" s="204">
        <f>167.9+78</f>
        <v>245.9</v>
      </c>
      <c r="H636" s="117">
        <v>201.5</v>
      </c>
      <c r="I636" s="212">
        <f t="shared" si="97"/>
        <v>0.81943879625864169</v>
      </c>
      <c r="J636" s="42">
        <v>1</v>
      </c>
      <c r="K636" s="43">
        <f t="shared" si="98"/>
        <v>245.9</v>
      </c>
      <c r="L636" s="43">
        <f t="shared" si="99"/>
        <v>201.5</v>
      </c>
      <c r="M636" s="43">
        <f t="shared" si="100"/>
        <v>0.81943879625864169</v>
      </c>
      <c r="N636" s="57">
        <f t="shared" si="101"/>
        <v>0</v>
      </c>
      <c r="O636" s="57">
        <f t="shared" si="102"/>
        <v>0</v>
      </c>
      <c r="P636" s="57">
        <f t="shared" si="103"/>
        <v>0</v>
      </c>
    </row>
    <row r="637" spans="2:16" ht="38.25" hidden="1">
      <c r="B637" s="15" t="s">
        <v>512</v>
      </c>
      <c r="C637" s="50" t="s">
        <v>62</v>
      </c>
      <c r="D637" s="50" t="s">
        <v>43</v>
      </c>
      <c r="E637" s="50" t="s">
        <v>501</v>
      </c>
      <c r="F637" s="50"/>
      <c r="G637" s="204">
        <f t="shared" ref="G637" si="106">G638</f>
        <v>0</v>
      </c>
      <c r="H637" s="204"/>
      <c r="I637" s="212" t="e">
        <f t="shared" si="97"/>
        <v>#DIV/0!</v>
      </c>
      <c r="J637" s="42"/>
      <c r="K637" s="43">
        <f t="shared" si="98"/>
        <v>0</v>
      </c>
      <c r="L637" s="43">
        <f t="shared" si="99"/>
        <v>0</v>
      </c>
      <c r="M637" s="43">
        <f t="shared" si="100"/>
        <v>0</v>
      </c>
      <c r="N637" s="57">
        <f t="shared" si="101"/>
        <v>0</v>
      </c>
      <c r="O637" s="57">
        <f t="shared" si="102"/>
        <v>0</v>
      </c>
      <c r="P637" s="57">
        <f t="shared" si="103"/>
        <v>0</v>
      </c>
    </row>
    <row r="638" spans="2:16" hidden="1">
      <c r="B638" s="15" t="s">
        <v>19</v>
      </c>
      <c r="C638" s="50" t="s">
        <v>62</v>
      </c>
      <c r="D638" s="50" t="s">
        <v>43</v>
      </c>
      <c r="E638" s="50" t="s">
        <v>501</v>
      </c>
      <c r="F638" s="50" t="s">
        <v>20</v>
      </c>
      <c r="G638" s="204">
        <v>0</v>
      </c>
      <c r="H638" s="117"/>
      <c r="I638" s="212" t="e">
        <f t="shared" si="97"/>
        <v>#DIV/0!</v>
      </c>
      <c r="J638" s="42">
        <v>1</v>
      </c>
      <c r="K638" s="43">
        <f t="shared" si="98"/>
        <v>0</v>
      </c>
      <c r="L638" s="43">
        <f t="shared" si="99"/>
        <v>0</v>
      </c>
      <c r="M638" s="43" t="e">
        <f t="shared" si="100"/>
        <v>#DIV/0!</v>
      </c>
      <c r="N638" s="57">
        <f t="shared" si="101"/>
        <v>0</v>
      </c>
      <c r="O638" s="57">
        <f t="shared" si="102"/>
        <v>0</v>
      </c>
      <c r="P638" s="57">
        <f t="shared" si="103"/>
        <v>0</v>
      </c>
    </row>
    <row r="639" spans="2:16">
      <c r="B639" s="15" t="s">
        <v>119</v>
      </c>
      <c r="C639" s="50" t="s">
        <v>62</v>
      </c>
      <c r="D639" s="50" t="s">
        <v>43</v>
      </c>
      <c r="E639" s="50" t="s">
        <v>174</v>
      </c>
      <c r="F639" s="50"/>
      <c r="G639" s="204">
        <f>G640</f>
        <v>6161.5999999999995</v>
      </c>
      <c r="H639" s="204">
        <v>5111.1000000000004</v>
      </c>
      <c r="I639" s="212">
        <f t="shared" si="97"/>
        <v>0.82950856920280458</v>
      </c>
      <c r="J639" s="42"/>
      <c r="K639" s="43">
        <f t="shared" si="98"/>
        <v>0</v>
      </c>
      <c r="L639" s="43">
        <f t="shared" si="99"/>
        <v>0</v>
      </c>
      <c r="M639" s="43">
        <f t="shared" si="100"/>
        <v>0</v>
      </c>
      <c r="N639" s="57">
        <f t="shared" si="101"/>
        <v>0</v>
      </c>
      <c r="O639" s="57">
        <f t="shared" si="102"/>
        <v>0</v>
      </c>
      <c r="P639" s="57">
        <f t="shared" si="103"/>
        <v>0</v>
      </c>
    </row>
    <row r="640" spans="2:16" ht="25.5">
      <c r="B640" s="15" t="s">
        <v>30</v>
      </c>
      <c r="C640" s="50" t="s">
        <v>62</v>
      </c>
      <c r="D640" s="50" t="s">
        <v>43</v>
      </c>
      <c r="E640" s="50" t="s">
        <v>174</v>
      </c>
      <c r="F640" s="50" t="s">
        <v>31</v>
      </c>
      <c r="G640" s="204">
        <f>5358.6+13.4+137+119+5+15-1.2+207+22.3+14.4-8+450-50+550+14.7-685.6</f>
        <v>6161.5999999999995</v>
      </c>
      <c r="H640" s="204">
        <v>5111.1000000000004</v>
      </c>
      <c r="I640" s="212">
        <f t="shared" si="97"/>
        <v>0.82950856920280458</v>
      </c>
      <c r="J640" s="42">
        <v>1</v>
      </c>
      <c r="K640" s="43">
        <f t="shared" si="98"/>
        <v>6161.5999999999995</v>
      </c>
      <c r="L640" s="43">
        <f t="shared" si="99"/>
        <v>5111.1000000000004</v>
      </c>
      <c r="M640" s="43">
        <f t="shared" si="100"/>
        <v>0.82950856920280458</v>
      </c>
      <c r="N640" s="57">
        <f t="shared" si="101"/>
        <v>0</v>
      </c>
      <c r="O640" s="57">
        <f t="shared" si="102"/>
        <v>0</v>
      </c>
      <c r="P640" s="57">
        <f t="shared" si="103"/>
        <v>0</v>
      </c>
    </row>
    <row r="641" spans="2:16" hidden="1">
      <c r="B641" s="15" t="s">
        <v>596</v>
      </c>
      <c r="C641" s="50" t="s">
        <v>62</v>
      </c>
      <c r="D641" s="50" t="s">
        <v>43</v>
      </c>
      <c r="E641" s="50" t="s">
        <v>595</v>
      </c>
      <c r="F641" s="50"/>
      <c r="G641" s="204">
        <f>G642+G643</f>
        <v>0</v>
      </c>
      <c r="H641" s="204"/>
      <c r="I641" s="207" t="e">
        <f t="shared" si="97"/>
        <v>#DIV/0!</v>
      </c>
      <c r="J641" s="42"/>
      <c r="K641" s="43">
        <f t="shared" si="98"/>
        <v>0</v>
      </c>
      <c r="L641" s="43">
        <f t="shared" si="99"/>
        <v>0</v>
      </c>
      <c r="M641" s="43">
        <f t="shared" si="100"/>
        <v>0</v>
      </c>
      <c r="N641" s="57">
        <f t="shared" si="101"/>
        <v>0</v>
      </c>
      <c r="O641" s="57">
        <f t="shared" si="102"/>
        <v>0</v>
      </c>
      <c r="P641" s="57">
        <f t="shared" si="103"/>
        <v>0</v>
      </c>
    </row>
    <row r="642" spans="2:16" ht="38.25" hidden="1">
      <c r="B642" s="15" t="s">
        <v>17</v>
      </c>
      <c r="C642" s="50" t="s">
        <v>62</v>
      </c>
      <c r="D642" s="50" t="s">
        <v>43</v>
      </c>
      <c r="E642" s="50" t="s">
        <v>595</v>
      </c>
      <c r="F642" s="50" t="s">
        <v>18</v>
      </c>
      <c r="G642" s="204">
        <v>0</v>
      </c>
      <c r="H642" s="204"/>
      <c r="I642" s="207" t="e">
        <f t="shared" si="97"/>
        <v>#DIV/0!</v>
      </c>
      <c r="J642" s="42">
        <v>2</v>
      </c>
      <c r="K642" s="43">
        <f t="shared" si="98"/>
        <v>0</v>
      </c>
      <c r="L642" s="43">
        <f t="shared" si="99"/>
        <v>0</v>
      </c>
      <c r="M642" s="43">
        <f t="shared" si="100"/>
        <v>0</v>
      </c>
      <c r="N642" s="57">
        <f t="shared" si="101"/>
        <v>0</v>
      </c>
      <c r="O642" s="57">
        <f t="shared" si="102"/>
        <v>0</v>
      </c>
      <c r="P642" s="57" t="e">
        <f t="shared" si="103"/>
        <v>#DIV/0!</v>
      </c>
    </row>
    <row r="643" spans="2:16" ht="25.5" hidden="1">
      <c r="B643" s="15" t="s">
        <v>30</v>
      </c>
      <c r="C643" s="50" t="s">
        <v>62</v>
      </c>
      <c r="D643" s="50" t="s">
        <v>43</v>
      </c>
      <c r="E643" s="50" t="s">
        <v>595</v>
      </c>
      <c r="F643" s="50" t="s">
        <v>31</v>
      </c>
      <c r="G643" s="204">
        <v>0</v>
      </c>
      <c r="H643" s="204"/>
      <c r="I643" s="207" t="e">
        <f t="shared" si="97"/>
        <v>#DIV/0!</v>
      </c>
      <c r="J643" s="42">
        <v>2</v>
      </c>
      <c r="K643" s="43">
        <f t="shared" si="98"/>
        <v>0</v>
      </c>
      <c r="L643" s="43">
        <f t="shared" si="99"/>
        <v>0</v>
      </c>
      <c r="M643" s="43">
        <f t="shared" si="100"/>
        <v>0</v>
      </c>
      <c r="N643" s="57">
        <f t="shared" si="101"/>
        <v>0</v>
      </c>
      <c r="O643" s="57">
        <f t="shared" si="102"/>
        <v>0</v>
      </c>
      <c r="P643" s="57" t="e">
        <f t="shared" si="103"/>
        <v>#DIV/0!</v>
      </c>
    </row>
    <row r="644" spans="2:16" ht="38.25">
      <c r="B644" s="14" t="s">
        <v>862</v>
      </c>
      <c r="C644" s="11" t="s">
        <v>62</v>
      </c>
      <c r="D644" s="11" t="s">
        <v>43</v>
      </c>
      <c r="E644" s="11" t="s">
        <v>790</v>
      </c>
      <c r="F644" s="11"/>
      <c r="G644" s="203">
        <f>G645+G648+G651</f>
        <v>1003.5000000000001</v>
      </c>
      <c r="H644" s="203">
        <v>1003.4</v>
      </c>
      <c r="I644" s="207">
        <f t="shared" si="97"/>
        <v>0.99990034877927236</v>
      </c>
      <c r="J644" s="42"/>
      <c r="K644" s="43">
        <f t="shared" si="98"/>
        <v>0</v>
      </c>
      <c r="L644" s="43">
        <f t="shared" si="99"/>
        <v>0</v>
      </c>
      <c r="M644" s="43">
        <f t="shared" si="100"/>
        <v>0</v>
      </c>
      <c r="N644" s="57">
        <f t="shared" si="101"/>
        <v>0</v>
      </c>
      <c r="O644" s="57">
        <f t="shared" si="102"/>
        <v>0</v>
      </c>
      <c r="P644" s="57">
        <f t="shared" si="103"/>
        <v>0</v>
      </c>
    </row>
    <row r="645" spans="2:16" ht="51">
      <c r="B645" s="15" t="s">
        <v>815</v>
      </c>
      <c r="C645" s="50" t="s">
        <v>62</v>
      </c>
      <c r="D645" s="50" t="s">
        <v>43</v>
      </c>
      <c r="E645" s="50" t="s">
        <v>791</v>
      </c>
      <c r="F645" s="50"/>
      <c r="G645" s="204">
        <f>G646+G647</f>
        <v>807.00000000000011</v>
      </c>
      <c r="H645" s="204">
        <v>807</v>
      </c>
      <c r="I645" s="212">
        <f t="shared" si="97"/>
        <v>0.99999999999999989</v>
      </c>
      <c r="J645" s="42"/>
      <c r="K645" s="43">
        <f t="shared" si="98"/>
        <v>0</v>
      </c>
      <c r="L645" s="43">
        <f t="shared" si="99"/>
        <v>0</v>
      </c>
      <c r="M645" s="43">
        <f t="shared" si="100"/>
        <v>0</v>
      </c>
      <c r="N645" s="57">
        <f t="shared" si="101"/>
        <v>0</v>
      </c>
      <c r="O645" s="57">
        <f t="shared" si="102"/>
        <v>0</v>
      </c>
      <c r="P645" s="57">
        <f t="shared" si="103"/>
        <v>0</v>
      </c>
    </row>
    <row r="646" spans="2:16" ht="38.25">
      <c r="B646" s="15" t="s">
        <v>17</v>
      </c>
      <c r="C646" s="50" t="s">
        <v>62</v>
      </c>
      <c r="D646" s="50" t="s">
        <v>43</v>
      </c>
      <c r="E646" s="50" t="s">
        <v>792</v>
      </c>
      <c r="F646" s="50" t="s">
        <v>18</v>
      </c>
      <c r="G646" s="204">
        <f>531.2+141.1+42.6</f>
        <v>714.90000000000009</v>
      </c>
      <c r="H646" s="204">
        <v>714.9</v>
      </c>
      <c r="I646" s="212">
        <f t="shared" si="97"/>
        <v>0.99999999999999989</v>
      </c>
      <c r="J646" s="42">
        <v>2</v>
      </c>
      <c r="K646" s="43">
        <f t="shared" si="98"/>
        <v>0</v>
      </c>
      <c r="L646" s="43">
        <f t="shared" si="99"/>
        <v>0</v>
      </c>
      <c r="M646" s="43">
        <f t="shared" si="100"/>
        <v>0</v>
      </c>
      <c r="N646" s="57">
        <f t="shared" si="101"/>
        <v>714.90000000000009</v>
      </c>
      <c r="O646" s="57">
        <f t="shared" si="102"/>
        <v>714.9</v>
      </c>
      <c r="P646" s="57">
        <f t="shared" si="103"/>
        <v>0.99999999999999989</v>
      </c>
    </row>
    <row r="647" spans="2:16" ht="25.5">
      <c r="B647" s="15" t="s">
        <v>30</v>
      </c>
      <c r="C647" s="50" t="s">
        <v>62</v>
      </c>
      <c r="D647" s="50" t="s">
        <v>43</v>
      </c>
      <c r="E647" s="50" t="s">
        <v>792</v>
      </c>
      <c r="F647" s="50" t="s">
        <v>31</v>
      </c>
      <c r="G647" s="204">
        <f>104.7-12.6</f>
        <v>92.100000000000009</v>
      </c>
      <c r="H647" s="204">
        <v>92.1</v>
      </c>
      <c r="I647" s="212">
        <f t="shared" si="97"/>
        <v>0.99999999999999989</v>
      </c>
      <c r="J647" s="42">
        <v>2</v>
      </c>
      <c r="K647" s="43">
        <f t="shared" si="98"/>
        <v>0</v>
      </c>
      <c r="L647" s="43">
        <f t="shared" si="99"/>
        <v>0</v>
      </c>
      <c r="M647" s="43">
        <f t="shared" si="100"/>
        <v>0</v>
      </c>
      <c r="N647" s="57">
        <f t="shared" si="101"/>
        <v>92.100000000000009</v>
      </c>
      <c r="O647" s="57">
        <f t="shared" si="102"/>
        <v>92.1</v>
      </c>
      <c r="P647" s="57">
        <f t="shared" si="103"/>
        <v>0.99999999999999989</v>
      </c>
    </row>
    <row r="648" spans="2:16" ht="25.5">
      <c r="B648" s="15" t="s">
        <v>789</v>
      </c>
      <c r="C648" s="50" t="s">
        <v>62</v>
      </c>
      <c r="D648" s="50" t="s">
        <v>43</v>
      </c>
      <c r="E648" s="50" t="s">
        <v>793</v>
      </c>
      <c r="F648" s="50"/>
      <c r="G648" s="204">
        <f>SUM(G649:G650)</f>
        <v>3</v>
      </c>
      <c r="H648" s="204">
        <v>3</v>
      </c>
      <c r="I648" s="212">
        <f t="shared" si="97"/>
        <v>1</v>
      </c>
      <c r="J648" s="42"/>
      <c r="K648" s="43">
        <f t="shared" si="98"/>
        <v>0</v>
      </c>
      <c r="L648" s="43">
        <f t="shared" si="99"/>
        <v>0</v>
      </c>
      <c r="M648" s="43">
        <f t="shared" si="100"/>
        <v>0</v>
      </c>
      <c r="N648" s="57">
        <f t="shared" si="101"/>
        <v>0</v>
      </c>
      <c r="O648" s="57">
        <f t="shared" si="102"/>
        <v>0</v>
      </c>
      <c r="P648" s="57">
        <f t="shared" si="103"/>
        <v>0</v>
      </c>
    </row>
    <row r="649" spans="2:16">
      <c r="B649" s="15" t="s">
        <v>19</v>
      </c>
      <c r="C649" s="50" t="s">
        <v>62</v>
      </c>
      <c r="D649" s="50" t="s">
        <v>43</v>
      </c>
      <c r="E649" s="50" t="s">
        <v>794</v>
      </c>
      <c r="F649" s="50" t="s">
        <v>20</v>
      </c>
      <c r="G649" s="204">
        <f>2+1</f>
        <v>3</v>
      </c>
      <c r="H649" s="204">
        <v>3</v>
      </c>
      <c r="I649" s="212">
        <f t="shared" si="97"/>
        <v>1</v>
      </c>
      <c r="J649" s="42">
        <v>2</v>
      </c>
      <c r="K649" s="43">
        <f t="shared" si="98"/>
        <v>0</v>
      </c>
      <c r="L649" s="43">
        <f t="shared" si="99"/>
        <v>0</v>
      </c>
      <c r="M649" s="43">
        <f t="shared" si="100"/>
        <v>0</v>
      </c>
      <c r="N649" s="57">
        <f t="shared" si="101"/>
        <v>3</v>
      </c>
      <c r="O649" s="57">
        <f t="shared" si="102"/>
        <v>3</v>
      </c>
      <c r="P649" s="57">
        <f t="shared" si="103"/>
        <v>1</v>
      </c>
    </row>
    <row r="650" spans="2:16" ht="25.5" hidden="1">
      <c r="B650" s="15" t="s">
        <v>30</v>
      </c>
      <c r="C650" s="50" t="s">
        <v>62</v>
      </c>
      <c r="D650" s="50" t="s">
        <v>43</v>
      </c>
      <c r="E650" s="50" t="s">
        <v>794</v>
      </c>
      <c r="F650" s="50" t="s">
        <v>31</v>
      </c>
      <c r="G650" s="204">
        <f>1-1</f>
        <v>0</v>
      </c>
      <c r="H650" s="204">
        <v>0</v>
      </c>
      <c r="I650" s="212" t="e">
        <f t="shared" si="97"/>
        <v>#DIV/0!</v>
      </c>
      <c r="J650" s="42">
        <v>2</v>
      </c>
      <c r="K650" s="43">
        <f t="shared" si="98"/>
        <v>0</v>
      </c>
      <c r="L650" s="43">
        <f t="shared" si="99"/>
        <v>0</v>
      </c>
      <c r="M650" s="43">
        <f t="shared" si="100"/>
        <v>0</v>
      </c>
      <c r="N650" s="57">
        <f t="shared" si="101"/>
        <v>0</v>
      </c>
      <c r="O650" s="57">
        <f t="shared" si="102"/>
        <v>0</v>
      </c>
      <c r="P650" s="57" t="e">
        <f t="shared" si="103"/>
        <v>#DIV/0!</v>
      </c>
    </row>
    <row r="651" spans="2:16" ht="28.5" customHeight="1">
      <c r="B651" s="15" t="s">
        <v>795</v>
      </c>
      <c r="C651" s="50" t="s">
        <v>62</v>
      </c>
      <c r="D651" s="50" t="s">
        <v>43</v>
      </c>
      <c r="E651" s="50" t="s">
        <v>796</v>
      </c>
      <c r="F651" s="50"/>
      <c r="G651" s="204">
        <f>SUM(G652:G655)</f>
        <v>193.50000000000003</v>
      </c>
      <c r="H651" s="204">
        <v>193.4</v>
      </c>
      <c r="I651" s="212">
        <f t="shared" si="97"/>
        <v>0.99948320413436675</v>
      </c>
      <c r="J651" s="42"/>
      <c r="K651" s="43">
        <f t="shared" si="98"/>
        <v>0</v>
      </c>
      <c r="L651" s="43">
        <f t="shared" si="99"/>
        <v>0</v>
      </c>
      <c r="M651" s="43">
        <f t="shared" si="100"/>
        <v>0</v>
      </c>
      <c r="N651" s="57">
        <f t="shared" si="101"/>
        <v>0</v>
      </c>
      <c r="O651" s="57">
        <f t="shared" si="102"/>
        <v>0</v>
      </c>
      <c r="P651" s="57">
        <f t="shared" si="103"/>
        <v>0</v>
      </c>
    </row>
    <row r="652" spans="2:16">
      <c r="B652" s="15" t="s">
        <v>19</v>
      </c>
      <c r="C652" s="50" t="s">
        <v>62</v>
      </c>
      <c r="D652" s="50" t="s">
        <v>43</v>
      </c>
      <c r="E652" s="50" t="s">
        <v>797</v>
      </c>
      <c r="F652" s="50" t="s">
        <v>20</v>
      </c>
      <c r="G652" s="204">
        <f>70.5+178.3-160.6</f>
        <v>88.200000000000017</v>
      </c>
      <c r="H652" s="204">
        <v>88.2</v>
      </c>
      <c r="I652" s="212">
        <f t="shared" si="97"/>
        <v>0.99999999999999989</v>
      </c>
      <c r="J652" s="42">
        <v>2</v>
      </c>
      <c r="K652" s="43">
        <f t="shared" si="98"/>
        <v>0</v>
      </c>
      <c r="L652" s="43">
        <f t="shared" si="99"/>
        <v>0</v>
      </c>
      <c r="M652" s="43">
        <f t="shared" si="100"/>
        <v>0</v>
      </c>
      <c r="N652" s="57">
        <f t="shared" si="101"/>
        <v>88.200000000000017</v>
      </c>
      <c r="O652" s="57">
        <f t="shared" si="102"/>
        <v>88.2</v>
      </c>
      <c r="P652" s="57">
        <f t="shared" si="103"/>
        <v>0.99999999999999989</v>
      </c>
    </row>
    <row r="653" spans="2:16" ht="25.5">
      <c r="B653" s="15" t="s">
        <v>30</v>
      </c>
      <c r="C653" s="50" t="s">
        <v>62</v>
      </c>
      <c r="D653" s="50" t="s">
        <v>43</v>
      </c>
      <c r="E653" s="50" t="s">
        <v>797</v>
      </c>
      <c r="F653" s="50" t="s">
        <v>31</v>
      </c>
      <c r="G653" s="204">
        <f>15.6-10.5</f>
        <v>5.0999999999999996</v>
      </c>
      <c r="H653" s="204">
        <v>5.0999999999999996</v>
      </c>
      <c r="I653" s="212">
        <f t="shared" si="97"/>
        <v>1</v>
      </c>
      <c r="J653" s="42">
        <v>2</v>
      </c>
      <c r="K653" s="43">
        <f t="shared" si="98"/>
        <v>0</v>
      </c>
      <c r="L653" s="43">
        <f t="shared" si="99"/>
        <v>0</v>
      </c>
      <c r="M653" s="43">
        <f t="shared" si="100"/>
        <v>0</v>
      </c>
      <c r="N653" s="57">
        <f t="shared" si="101"/>
        <v>5.0999999999999996</v>
      </c>
      <c r="O653" s="57">
        <f t="shared" si="102"/>
        <v>5.0999999999999996</v>
      </c>
      <c r="P653" s="57">
        <f t="shared" si="103"/>
        <v>1</v>
      </c>
    </row>
    <row r="654" spans="2:16" ht="25.5">
      <c r="B654" s="15" t="s">
        <v>504</v>
      </c>
      <c r="C654" s="50" t="s">
        <v>62</v>
      </c>
      <c r="D654" s="50" t="s">
        <v>43</v>
      </c>
      <c r="E654" s="50" t="s">
        <v>798</v>
      </c>
      <c r="F654" s="50" t="s">
        <v>20</v>
      </c>
      <c r="G654" s="204">
        <f>1+89.5-1.1</f>
        <v>89.4</v>
      </c>
      <c r="H654" s="204">
        <v>89.4</v>
      </c>
      <c r="I654" s="212">
        <f t="shared" si="97"/>
        <v>1</v>
      </c>
      <c r="J654" s="42">
        <v>1</v>
      </c>
      <c r="K654" s="43">
        <f t="shared" si="98"/>
        <v>89.4</v>
      </c>
      <c r="L654" s="43">
        <f t="shared" si="99"/>
        <v>89.4</v>
      </c>
      <c r="M654" s="43">
        <f t="shared" si="100"/>
        <v>1</v>
      </c>
      <c r="N654" s="57">
        <f t="shared" si="101"/>
        <v>0</v>
      </c>
      <c r="O654" s="57">
        <f t="shared" si="102"/>
        <v>0</v>
      </c>
      <c r="P654" s="57">
        <f t="shared" si="103"/>
        <v>0</v>
      </c>
    </row>
    <row r="655" spans="2:16" ht="25.5">
      <c r="B655" s="15" t="s">
        <v>554</v>
      </c>
      <c r="C655" s="50" t="s">
        <v>62</v>
      </c>
      <c r="D655" s="50" t="s">
        <v>43</v>
      </c>
      <c r="E655" s="50" t="s">
        <v>798</v>
      </c>
      <c r="F655" s="50" t="s">
        <v>31</v>
      </c>
      <c r="G655" s="204">
        <v>10.8</v>
      </c>
      <c r="H655" s="204">
        <v>10.7</v>
      </c>
      <c r="I655" s="212">
        <f t="shared" si="97"/>
        <v>0.99074074074074059</v>
      </c>
      <c r="J655" s="42">
        <v>1</v>
      </c>
      <c r="K655" s="43">
        <f t="shared" si="98"/>
        <v>10.8</v>
      </c>
      <c r="L655" s="43">
        <f t="shared" si="99"/>
        <v>10.7</v>
      </c>
      <c r="M655" s="43">
        <f t="shared" si="100"/>
        <v>0.99074074074074059</v>
      </c>
      <c r="N655" s="57">
        <f t="shared" si="101"/>
        <v>0</v>
      </c>
      <c r="O655" s="57">
        <f t="shared" si="102"/>
        <v>0</v>
      </c>
      <c r="P655" s="57">
        <f t="shared" si="103"/>
        <v>0</v>
      </c>
    </row>
    <row r="656" spans="2:16" ht="25.5" hidden="1">
      <c r="B656" s="15" t="s">
        <v>194</v>
      </c>
      <c r="C656" s="50" t="s">
        <v>62</v>
      </c>
      <c r="D656" s="50" t="s">
        <v>43</v>
      </c>
      <c r="E656" s="50" t="s">
        <v>217</v>
      </c>
      <c r="F656" s="50"/>
      <c r="G656" s="204">
        <f>G658+G659+G657</f>
        <v>0</v>
      </c>
      <c r="H656" s="204"/>
      <c r="I656" s="212" t="e">
        <f t="shared" si="97"/>
        <v>#DIV/0!</v>
      </c>
      <c r="J656" s="42"/>
      <c r="K656" s="43">
        <f t="shared" si="98"/>
        <v>0</v>
      </c>
      <c r="L656" s="43">
        <f t="shared" si="99"/>
        <v>0</v>
      </c>
      <c r="M656" s="43">
        <f t="shared" si="100"/>
        <v>0</v>
      </c>
      <c r="N656" s="57">
        <f t="shared" si="101"/>
        <v>0</v>
      </c>
      <c r="O656" s="57">
        <f t="shared" si="102"/>
        <v>0</v>
      </c>
      <c r="P656" s="57">
        <f t="shared" si="103"/>
        <v>0</v>
      </c>
    </row>
    <row r="657" spans="2:16" ht="38.25" hidden="1">
      <c r="B657" s="15" t="s">
        <v>17</v>
      </c>
      <c r="C657" s="50" t="s">
        <v>62</v>
      </c>
      <c r="D657" s="50" t="s">
        <v>43</v>
      </c>
      <c r="E657" s="50" t="s">
        <v>217</v>
      </c>
      <c r="F657" s="50" t="s">
        <v>18</v>
      </c>
      <c r="G657" s="204">
        <v>0</v>
      </c>
      <c r="H657" s="204"/>
      <c r="I657" s="212" t="e">
        <f t="shared" si="97"/>
        <v>#DIV/0!</v>
      </c>
      <c r="J657" s="42">
        <v>2</v>
      </c>
      <c r="K657" s="43">
        <f t="shared" si="98"/>
        <v>0</v>
      </c>
      <c r="L657" s="43">
        <f t="shared" si="99"/>
        <v>0</v>
      </c>
      <c r="M657" s="43">
        <f t="shared" si="100"/>
        <v>0</v>
      </c>
      <c r="N657" s="57">
        <f t="shared" si="101"/>
        <v>0</v>
      </c>
      <c r="O657" s="57">
        <f t="shared" si="102"/>
        <v>0</v>
      </c>
      <c r="P657" s="57" t="e">
        <f t="shared" si="103"/>
        <v>#DIV/0!</v>
      </c>
    </row>
    <row r="658" spans="2:16" hidden="1">
      <c r="B658" s="15" t="s">
        <v>19</v>
      </c>
      <c r="C658" s="50" t="s">
        <v>62</v>
      </c>
      <c r="D658" s="50" t="s">
        <v>43</v>
      </c>
      <c r="E658" s="50" t="s">
        <v>217</v>
      </c>
      <c r="F658" s="50" t="s">
        <v>20</v>
      </c>
      <c r="G658" s="204">
        <v>0</v>
      </c>
      <c r="H658" s="204"/>
      <c r="I658" s="212" t="e">
        <f t="shared" si="97"/>
        <v>#DIV/0!</v>
      </c>
      <c r="J658" s="42">
        <v>2</v>
      </c>
      <c r="K658" s="43">
        <f t="shared" si="98"/>
        <v>0</v>
      </c>
      <c r="L658" s="43">
        <f t="shared" si="99"/>
        <v>0</v>
      </c>
      <c r="M658" s="43">
        <f t="shared" si="100"/>
        <v>0</v>
      </c>
      <c r="N658" s="57">
        <f t="shared" si="101"/>
        <v>0</v>
      </c>
      <c r="O658" s="57">
        <f t="shared" si="102"/>
        <v>0</v>
      </c>
      <c r="P658" s="57" t="e">
        <f t="shared" si="103"/>
        <v>#DIV/0!</v>
      </c>
    </row>
    <row r="659" spans="2:16" ht="25.5" hidden="1">
      <c r="B659" s="15" t="s">
        <v>30</v>
      </c>
      <c r="C659" s="50" t="s">
        <v>62</v>
      </c>
      <c r="D659" s="50" t="s">
        <v>43</v>
      </c>
      <c r="E659" s="50" t="s">
        <v>217</v>
      </c>
      <c r="F659" s="50" t="s">
        <v>31</v>
      </c>
      <c r="G659" s="204">
        <v>0</v>
      </c>
      <c r="H659" s="204"/>
      <c r="I659" s="212" t="e">
        <f t="shared" si="97"/>
        <v>#DIV/0!</v>
      </c>
      <c r="J659" s="42">
        <v>2</v>
      </c>
      <c r="K659" s="43">
        <f t="shared" si="98"/>
        <v>0</v>
      </c>
      <c r="L659" s="43">
        <f t="shared" si="99"/>
        <v>0</v>
      </c>
      <c r="M659" s="43">
        <f t="shared" si="100"/>
        <v>0</v>
      </c>
      <c r="N659" s="57">
        <f t="shared" si="101"/>
        <v>0</v>
      </c>
      <c r="O659" s="57">
        <f t="shared" si="102"/>
        <v>0</v>
      </c>
      <c r="P659" s="57" t="e">
        <f t="shared" si="103"/>
        <v>#DIV/0!</v>
      </c>
    </row>
    <row r="660" spans="2:16" ht="25.5" hidden="1">
      <c r="B660" s="15" t="s">
        <v>618</v>
      </c>
      <c r="C660" s="50" t="s">
        <v>62</v>
      </c>
      <c r="D660" s="50" t="s">
        <v>43</v>
      </c>
      <c r="E660" s="50" t="s">
        <v>617</v>
      </c>
      <c r="F660" s="50"/>
      <c r="G660" s="204">
        <f>G661+G662</f>
        <v>0</v>
      </c>
      <c r="H660" s="204"/>
      <c r="I660" s="212" t="e">
        <f t="shared" si="97"/>
        <v>#DIV/0!</v>
      </c>
      <c r="J660" s="42"/>
      <c r="K660" s="43">
        <f t="shared" si="98"/>
        <v>0</v>
      </c>
      <c r="L660" s="43">
        <f t="shared" si="99"/>
        <v>0</v>
      </c>
      <c r="M660" s="43">
        <f t="shared" si="100"/>
        <v>0</v>
      </c>
      <c r="N660" s="57">
        <f t="shared" si="101"/>
        <v>0</v>
      </c>
      <c r="O660" s="57">
        <f t="shared" si="102"/>
        <v>0</v>
      </c>
      <c r="P660" s="57">
        <f t="shared" si="103"/>
        <v>0</v>
      </c>
    </row>
    <row r="661" spans="2:16" hidden="1">
      <c r="B661" s="15" t="s">
        <v>19</v>
      </c>
      <c r="C661" s="50" t="s">
        <v>62</v>
      </c>
      <c r="D661" s="50" t="s">
        <v>43</v>
      </c>
      <c r="E661" s="50" t="s">
        <v>617</v>
      </c>
      <c r="F661" s="50" t="s">
        <v>20</v>
      </c>
      <c r="G661" s="204">
        <v>0</v>
      </c>
      <c r="H661" s="204"/>
      <c r="I661" s="212" t="e">
        <f t="shared" si="97"/>
        <v>#DIV/0!</v>
      </c>
      <c r="J661" s="42">
        <v>1</v>
      </c>
      <c r="K661" s="43">
        <f t="shared" si="98"/>
        <v>0</v>
      </c>
      <c r="L661" s="43">
        <f t="shared" si="99"/>
        <v>0</v>
      </c>
      <c r="M661" s="43" t="e">
        <f t="shared" si="100"/>
        <v>#DIV/0!</v>
      </c>
      <c r="N661" s="57">
        <f t="shared" si="101"/>
        <v>0</v>
      </c>
      <c r="O661" s="57">
        <f t="shared" si="102"/>
        <v>0</v>
      </c>
      <c r="P661" s="57">
        <f t="shared" si="103"/>
        <v>0</v>
      </c>
    </row>
    <row r="662" spans="2:16" ht="25.5" hidden="1">
      <c r="B662" s="15" t="s">
        <v>30</v>
      </c>
      <c r="C662" s="50" t="s">
        <v>62</v>
      </c>
      <c r="D662" s="50" t="s">
        <v>43</v>
      </c>
      <c r="E662" s="50" t="s">
        <v>617</v>
      </c>
      <c r="F662" s="50" t="s">
        <v>31</v>
      </c>
      <c r="G662" s="204">
        <v>0</v>
      </c>
      <c r="H662" s="204"/>
      <c r="I662" s="212" t="e">
        <f t="shared" si="97"/>
        <v>#DIV/0!</v>
      </c>
      <c r="J662" s="42">
        <v>1</v>
      </c>
      <c r="K662" s="43">
        <f t="shared" si="98"/>
        <v>0</v>
      </c>
      <c r="L662" s="43">
        <f t="shared" si="99"/>
        <v>0</v>
      </c>
      <c r="M662" s="43" t="e">
        <f t="shared" si="100"/>
        <v>#DIV/0!</v>
      </c>
      <c r="N662" s="57">
        <f t="shared" si="101"/>
        <v>0</v>
      </c>
      <c r="O662" s="57">
        <f t="shared" si="102"/>
        <v>0</v>
      </c>
      <c r="P662" s="57">
        <f t="shared" si="103"/>
        <v>0</v>
      </c>
    </row>
    <row r="663" spans="2:16" ht="25.5">
      <c r="B663" s="15" t="s">
        <v>120</v>
      </c>
      <c r="C663" s="50" t="s">
        <v>62</v>
      </c>
      <c r="D663" s="50" t="s">
        <v>43</v>
      </c>
      <c r="E663" s="50" t="s">
        <v>175</v>
      </c>
      <c r="F663" s="50"/>
      <c r="G663" s="204">
        <f>G664+G670+G673</f>
        <v>124869.5</v>
      </c>
      <c r="H663" s="204">
        <v>117741.2</v>
      </c>
      <c r="I663" s="212">
        <f t="shared" si="97"/>
        <v>0.94291400221831589</v>
      </c>
      <c r="J663" s="42"/>
      <c r="K663" s="43">
        <f t="shared" si="98"/>
        <v>0</v>
      </c>
      <c r="L663" s="43">
        <f t="shared" si="99"/>
        <v>0</v>
      </c>
      <c r="M663" s="43">
        <f t="shared" si="100"/>
        <v>0</v>
      </c>
      <c r="N663" s="57">
        <f t="shared" si="101"/>
        <v>0</v>
      </c>
      <c r="O663" s="57">
        <f t="shared" si="102"/>
        <v>0</v>
      </c>
      <c r="P663" s="57">
        <f t="shared" si="103"/>
        <v>0</v>
      </c>
    </row>
    <row r="664" spans="2:16" ht="39" customHeight="1">
      <c r="B664" s="15" t="s">
        <v>17</v>
      </c>
      <c r="C664" s="50" t="s">
        <v>62</v>
      </c>
      <c r="D664" s="50" t="s">
        <v>43</v>
      </c>
      <c r="E664" s="50" t="s">
        <v>175</v>
      </c>
      <c r="F664" s="50" t="s">
        <v>18</v>
      </c>
      <c r="G664" s="204">
        <v>80495.5</v>
      </c>
      <c r="H664" s="204">
        <v>77130.899999999994</v>
      </c>
      <c r="I664" s="212">
        <f t="shared" si="97"/>
        <v>0.95820139013982142</v>
      </c>
      <c r="J664" s="42"/>
      <c r="K664" s="43">
        <f t="shared" si="98"/>
        <v>0</v>
      </c>
      <c r="L664" s="43">
        <f t="shared" si="99"/>
        <v>0</v>
      </c>
      <c r="M664" s="43">
        <f t="shared" si="100"/>
        <v>0</v>
      </c>
      <c r="N664" s="57">
        <f t="shared" si="101"/>
        <v>0</v>
      </c>
      <c r="O664" s="57">
        <f t="shared" si="102"/>
        <v>0</v>
      </c>
      <c r="P664" s="57">
        <f t="shared" si="103"/>
        <v>0</v>
      </c>
    </row>
    <row r="665" spans="2:16" ht="25.5">
      <c r="B665" s="15" t="s">
        <v>206</v>
      </c>
      <c r="C665" s="50" t="s">
        <v>62</v>
      </c>
      <c r="D665" s="50" t="s">
        <v>43</v>
      </c>
      <c r="E665" s="50" t="s">
        <v>205</v>
      </c>
      <c r="F665" s="50"/>
      <c r="G665" s="204">
        <f>G666</f>
        <v>62670.9</v>
      </c>
      <c r="H665" s="204">
        <v>61391</v>
      </c>
      <c r="I665" s="212">
        <f t="shared" si="97"/>
        <v>0.97957744343866127</v>
      </c>
      <c r="J665" s="42"/>
      <c r="K665" s="43">
        <f t="shared" si="98"/>
        <v>0</v>
      </c>
      <c r="L665" s="43">
        <f t="shared" si="99"/>
        <v>0</v>
      </c>
      <c r="M665" s="43">
        <f t="shared" si="100"/>
        <v>0</v>
      </c>
      <c r="N665" s="57">
        <f t="shared" si="101"/>
        <v>0</v>
      </c>
      <c r="O665" s="57">
        <f t="shared" si="102"/>
        <v>0</v>
      </c>
      <c r="P665" s="57">
        <f t="shared" si="103"/>
        <v>0</v>
      </c>
    </row>
    <row r="666" spans="2:16" ht="39.75" customHeight="1">
      <c r="B666" s="15" t="s">
        <v>17</v>
      </c>
      <c r="C666" s="50" t="s">
        <v>62</v>
      </c>
      <c r="D666" s="50" t="s">
        <v>43</v>
      </c>
      <c r="E666" s="50" t="s">
        <v>205</v>
      </c>
      <c r="F666" s="50" t="s">
        <v>18</v>
      </c>
      <c r="G666" s="204">
        <v>62670.9</v>
      </c>
      <c r="H666" s="204">
        <v>61391</v>
      </c>
      <c r="I666" s="212">
        <f t="shared" si="97"/>
        <v>0.97957744343866127</v>
      </c>
      <c r="J666" s="42">
        <v>2</v>
      </c>
      <c r="K666" s="43">
        <f t="shared" si="98"/>
        <v>0</v>
      </c>
      <c r="L666" s="43">
        <f t="shared" si="99"/>
        <v>0</v>
      </c>
      <c r="M666" s="43">
        <f>SUMIF(J666,1,I666)</f>
        <v>0</v>
      </c>
      <c r="N666" s="57">
        <f t="shared" si="101"/>
        <v>62670.9</v>
      </c>
      <c r="O666" s="57">
        <f t="shared" si="102"/>
        <v>61391</v>
      </c>
      <c r="P666" s="57">
        <f t="shared" si="103"/>
        <v>0.97957744343866127</v>
      </c>
    </row>
    <row r="667" spans="2:16" ht="25.5">
      <c r="B667" s="15" t="s">
        <v>365</v>
      </c>
      <c r="C667" s="50" t="s">
        <v>62</v>
      </c>
      <c r="D667" s="50" t="s">
        <v>43</v>
      </c>
      <c r="E667" s="50" t="s">
        <v>207</v>
      </c>
      <c r="F667" s="50"/>
      <c r="G667" s="204">
        <f>G668+G669</f>
        <v>17824.599999999999</v>
      </c>
      <c r="H667" s="204">
        <v>15739.9</v>
      </c>
      <c r="I667" s="212">
        <f t="shared" ref="I667:I730" si="107">H667/G667</f>
        <v>0.88304365876373103</v>
      </c>
      <c r="J667" s="42"/>
      <c r="K667" s="43">
        <f t="shared" si="98"/>
        <v>0</v>
      </c>
      <c r="L667" s="43">
        <f t="shared" si="99"/>
        <v>0</v>
      </c>
      <c r="M667" s="43">
        <f t="shared" si="100"/>
        <v>0</v>
      </c>
      <c r="N667" s="57">
        <f t="shared" si="101"/>
        <v>0</v>
      </c>
      <c r="O667" s="57">
        <f t="shared" si="102"/>
        <v>0</v>
      </c>
      <c r="P667" s="57">
        <f t="shared" si="103"/>
        <v>0</v>
      </c>
    </row>
    <row r="668" spans="2:16" ht="41.25" customHeight="1">
      <c r="B668" s="15" t="s">
        <v>17</v>
      </c>
      <c r="C668" s="50" t="s">
        <v>62</v>
      </c>
      <c r="D668" s="50" t="s">
        <v>43</v>
      </c>
      <c r="E668" s="50" t="s">
        <v>207</v>
      </c>
      <c r="F668" s="50" t="s">
        <v>18</v>
      </c>
      <c r="G668" s="204">
        <f>17802.4+6109-3937.2+22.1-1043.9-1127.8</f>
        <v>17824.599999999999</v>
      </c>
      <c r="H668" s="204">
        <v>15739.9</v>
      </c>
      <c r="I668" s="212">
        <f t="shared" si="107"/>
        <v>0.88304365876373103</v>
      </c>
      <c r="J668" s="42">
        <v>2</v>
      </c>
      <c r="K668" s="43">
        <f t="shared" si="98"/>
        <v>0</v>
      </c>
      <c r="L668" s="43">
        <f t="shared" si="99"/>
        <v>0</v>
      </c>
      <c r="M668" s="43">
        <f t="shared" si="100"/>
        <v>0</v>
      </c>
      <c r="N668" s="57">
        <f t="shared" si="101"/>
        <v>17824.599999999999</v>
      </c>
      <c r="O668" s="57">
        <f t="shared" si="102"/>
        <v>15739.9</v>
      </c>
      <c r="P668" s="57">
        <f t="shared" si="103"/>
        <v>0.88304365876373103</v>
      </c>
    </row>
    <row r="669" spans="2:16" ht="26.25" hidden="1" customHeight="1">
      <c r="B669" s="15" t="s">
        <v>566</v>
      </c>
      <c r="C669" s="50" t="s">
        <v>62</v>
      </c>
      <c r="D669" s="50" t="s">
        <v>43</v>
      </c>
      <c r="E669" s="50" t="s">
        <v>207</v>
      </c>
      <c r="F669" s="50" t="s">
        <v>26</v>
      </c>
      <c r="G669" s="204">
        <v>0</v>
      </c>
      <c r="H669" s="204">
        <v>0</v>
      </c>
      <c r="I669" s="212" t="e">
        <f t="shared" si="107"/>
        <v>#DIV/0!</v>
      </c>
      <c r="J669" s="42">
        <v>2</v>
      </c>
      <c r="K669" s="43">
        <f t="shared" si="98"/>
        <v>0</v>
      </c>
      <c r="L669" s="43">
        <f t="shared" si="99"/>
        <v>0</v>
      </c>
      <c r="M669" s="43">
        <f t="shared" si="100"/>
        <v>0</v>
      </c>
      <c r="N669" s="57">
        <f t="shared" si="101"/>
        <v>0</v>
      </c>
      <c r="O669" s="57">
        <f t="shared" si="102"/>
        <v>0</v>
      </c>
      <c r="P669" s="57" t="e">
        <f t="shared" si="103"/>
        <v>#DIV/0!</v>
      </c>
    </row>
    <row r="670" spans="2:16">
      <c r="B670" s="15" t="s">
        <v>19</v>
      </c>
      <c r="C670" s="50" t="s">
        <v>62</v>
      </c>
      <c r="D670" s="50" t="s">
        <v>43</v>
      </c>
      <c r="E670" s="50" t="s">
        <v>175</v>
      </c>
      <c r="F670" s="50" t="s">
        <v>20</v>
      </c>
      <c r="G670" s="204">
        <f>G671</f>
        <v>2190.9</v>
      </c>
      <c r="H670" s="204">
        <v>2069.9</v>
      </c>
      <c r="I670" s="212">
        <f t="shared" si="107"/>
        <v>0.94477155506869326</v>
      </c>
      <c r="J670" s="42"/>
      <c r="K670" s="43">
        <f t="shared" si="98"/>
        <v>0</v>
      </c>
      <c r="L670" s="43">
        <f t="shared" si="99"/>
        <v>0</v>
      </c>
      <c r="M670" s="43">
        <f t="shared" si="100"/>
        <v>0</v>
      </c>
      <c r="N670" s="57">
        <f t="shared" si="101"/>
        <v>0</v>
      </c>
      <c r="O670" s="57">
        <f t="shared" si="102"/>
        <v>0</v>
      </c>
      <c r="P670" s="57">
        <f t="shared" si="103"/>
        <v>0</v>
      </c>
    </row>
    <row r="671" spans="2:16" ht="25.5">
      <c r="B671" s="15" t="s">
        <v>210</v>
      </c>
      <c r="C671" s="50" t="s">
        <v>62</v>
      </c>
      <c r="D671" s="50" t="s">
        <v>43</v>
      </c>
      <c r="E671" s="50" t="s">
        <v>209</v>
      </c>
      <c r="F671" s="50"/>
      <c r="G671" s="204">
        <f t="shared" ref="G671" si="108">G672</f>
        <v>2190.9</v>
      </c>
      <c r="H671" s="204">
        <v>2069.9</v>
      </c>
      <c r="I671" s="212">
        <f t="shared" si="107"/>
        <v>0.94477155506869326</v>
      </c>
      <c r="J671" s="42"/>
      <c r="K671" s="43">
        <f t="shared" si="98"/>
        <v>0</v>
      </c>
      <c r="L671" s="43">
        <f t="shared" si="99"/>
        <v>0</v>
      </c>
      <c r="M671" s="43">
        <f t="shared" si="100"/>
        <v>0</v>
      </c>
      <c r="N671" s="57">
        <f t="shared" si="101"/>
        <v>0</v>
      </c>
      <c r="O671" s="57">
        <f t="shared" si="102"/>
        <v>0</v>
      </c>
      <c r="P671" s="57">
        <f t="shared" si="103"/>
        <v>0</v>
      </c>
    </row>
    <row r="672" spans="2:16">
      <c r="B672" s="15" t="s">
        <v>19</v>
      </c>
      <c r="C672" s="50" t="s">
        <v>62</v>
      </c>
      <c r="D672" s="50" t="s">
        <v>43</v>
      </c>
      <c r="E672" s="50" t="s">
        <v>209</v>
      </c>
      <c r="F672" s="50" t="s">
        <v>20</v>
      </c>
      <c r="G672" s="204">
        <f>1085.5-1008.3+330+1783.7</f>
        <v>2190.9</v>
      </c>
      <c r="H672" s="204">
        <v>2069.9</v>
      </c>
      <c r="I672" s="212">
        <f t="shared" si="107"/>
        <v>0.94477155506869326</v>
      </c>
      <c r="J672" s="42">
        <v>2</v>
      </c>
      <c r="K672" s="43">
        <f t="shared" si="98"/>
        <v>0</v>
      </c>
      <c r="L672" s="43">
        <f t="shared" si="99"/>
        <v>0</v>
      </c>
      <c r="M672" s="43">
        <f t="shared" si="100"/>
        <v>0</v>
      </c>
      <c r="N672" s="57">
        <f t="shared" si="101"/>
        <v>2190.9</v>
      </c>
      <c r="O672" s="57">
        <f t="shared" si="102"/>
        <v>2069.9</v>
      </c>
      <c r="P672" s="57">
        <f t="shared" si="103"/>
        <v>0.94477155506869326</v>
      </c>
    </row>
    <row r="673" spans="2:16" ht="25.5">
      <c r="B673" s="15" t="s">
        <v>30</v>
      </c>
      <c r="C673" s="50" t="s">
        <v>62</v>
      </c>
      <c r="D673" s="50" t="s">
        <v>43</v>
      </c>
      <c r="E673" s="50" t="s">
        <v>175</v>
      </c>
      <c r="F673" s="50" t="s">
        <v>31</v>
      </c>
      <c r="G673" s="204">
        <f>G675+G677+G679</f>
        <v>42183.100000000006</v>
      </c>
      <c r="H673" s="204">
        <v>38540.400000000001</v>
      </c>
      <c r="I673" s="212">
        <f t="shared" si="107"/>
        <v>0.91364551206525824</v>
      </c>
      <c r="J673" s="42"/>
      <c r="K673" s="43">
        <f t="shared" si="98"/>
        <v>0</v>
      </c>
      <c r="L673" s="43">
        <f t="shared" si="99"/>
        <v>0</v>
      </c>
      <c r="M673" s="43">
        <f t="shared" si="100"/>
        <v>0</v>
      </c>
      <c r="N673" s="57">
        <f t="shared" si="101"/>
        <v>0</v>
      </c>
      <c r="O673" s="57">
        <f t="shared" si="102"/>
        <v>0</v>
      </c>
      <c r="P673" s="57">
        <f t="shared" si="103"/>
        <v>0</v>
      </c>
    </row>
    <row r="674" spans="2:16" ht="25.5">
      <c r="B674" s="15" t="s">
        <v>206</v>
      </c>
      <c r="C674" s="50" t="s">
        <v>62</v>
      </c>
      <c r="D674" s="50" t="s">
        <v>43</v>
      </c>
      <c r="E674" s="50" t="s">
        <v>205</v>
      </c>
      <c r="F674" s="50"/>
      <c r="G674" s="204">
        <f>G675</f>
        <v>31335.4</v>
      </c>
      <c r="H674" s="204">
        <v>28492.9</v>
      </c>
      <c r="I674" s="212">
        <f t="shared" si="107"/>
        <v>0.9092878980322574</v>
      </c>
      <c r="J674" s="42"/>
      <c r="K674" s="43">
        <f t="shared" si="98"/>
        <v>0</v>
      </c>
      <c r="L674" s="43">
        <f t="shared" si="99"/>
        <v>0</v>
      </c>
      <c r="M674" s="43">
        <f t="shared" si="100"/>
        <v>0</v>
      </c>
      <c r="N674" s="57">
        <f t="shared" si="101"/>
        <v>0</v>
      </c>
      <c r="O674" s="57">
        <f t="shared" si="102"/>
        <v>0</v>
      </c>
      <c r="P674" s="57">
        <f t="shared" si="103"/>
        <v>0</v>
      </c>
    </row>
    <row r="675" spans="2:16" ht="25.5">
      <c r="B675" s="15" t="s">
        <v>30</v>
      </c>
      <c r="C675" s="50" t="s">
        <v>62</v>
      </c>
      <c r="D675" s="50" t="s">
        <v>43</v>
      </c>
      <c r="E675" s="50" t="s">
        <v>205</v>
      </c>
      <c r="F675" s="50" t="s">
        <v>31</v>
      </c>
      <c r="G675" s="204">
        <v>31335.4</v>
      </c>
      <c r="H675" s="204">
        <v>28492.9</v>
      </c>
      <c r="I675" s="212">
        <f t="shared" si="107"/>
        <v>0.9092878980322574</v>
      </c>
      <c r="J675" s="42">
        <v>2</v>
      </c>
      <c r="K675" s="43">
        <f t="shared" si="98"/>
        <v>0</v>
      </c>
      <c r="L675" s="43">
        <f t="shared" si="99"/>
        <v>0</v>
      </c>
      <c r="M675" s="43">
        <f t="shared" si="100"/>
        <v>0</v>
      </c>
      <c r="N675" s="57">
        <f t="shared" si="101"/>
        <v>31335.4</v>
      </c>
      <c r="O675" s="57">
        <f t="shared" si="102"/>
        <v>28492.9</v>
      </c>
      <c r="P675" s="57">
        <f t="shared" si="103"/>
        <v>0.9092878980322574</v>
      </c>
    </row>
    <row r="676" spans="2:16" ht="25.5">
      <c r="B676" s="15" t="s">
        <v>365</v>
      </c>
      <c r="C676" s="50" t="s">
        <v>62</v>
      </c>
      <c r="D676" s="50" t="s">
        <v>43</v>
      </c>
      <c r="E676" s="50" t="s">
        <v>207</v>
      </c>
      <c r="F676" s="50"/>
      <c r="G676" s="204">
        <f>G677</f>
        <v>8297.2000000000007</v>
      </c>
      <c r="H676" s="204">
        <v>7497.6</v>
      </c>
      <c r="I676" s="212">
        <f t="shared" si="107"/>
        <v>0.90363014028829003</v>
      </c>
      <c r="J676" s="42"/>
      <c r="K676" s="43">
        <f t="shared" si="98"/>
        <v>0</v>
      </c>
      <c r="L676" s="43">
        <f t="shared" si="99"/>
        <v>0</v>
      </c>
      <c r="M676" s="43">
        <f t="shared" si="100"/>
        <v>0</v>
      </c>
      <c r="N676" s="57">
        <f t="shared" si="101"/>
        <v>0</v>
      </c>
      <c r="O676" s="57">
        <f t="shared" si="102"/>
        <v>0</v>
      </c>
      <c r="P676" s="57">
        <f t="shared" si="103"/>
        <v>0</v>
      </c>
    </row>
    <row r="677" spans="2:16" ht="25.5">
      <c r="B677" s="15" t="s">
        <v>30</v>
      </c>
      <c r="C677" s="50" t="s">
        <v>62</v>
      </c>
      <c r="D677" s="50" t="s">
        <v>43</v>
      </c>
      <c r="E677" s="50" t="s">
        <v>207</v>
      </c>
      <c r="F677" s="50" t="s">
        <v>31</v>
      </c>
      <c r="G677" s="204">
        <v>8297.2000000000007</v>
      </c>
      <c r="H677" s="204">
        <v>7497.6</v>
      </c>
      <c r="I677" s="212">
        <f t="shared" si="107"/>
        <v>0.90363014028829003</v>
      </c>
      <c r="J677" s="42">
        <v>2</v>
      </c>
      <c r="K677" s="43">
        <f t="shared" si="98"/>
        <v>0</v>
      </c>
      <c r="L677" s="43">
        <f t="shared" si="99"/>
        <v>0</v>
      </c>
      <c r="M677" s="43">
        <f t="shared" si="100"/>
        <v>0</v>
      </c>
      <c r="N677" s="57">
        <f t="shared" si="101"/>
        <v>8297.2000000000007</v>
      </c>
      <c r="O677" s="57">
        <f t="shared" si="102"/>
        <v>7497.6</v>
      </c>
      <c r="P677" s="57">
        <f t="shared" si="103"/>
        <v>0.90363014028829003</v>
      </c>
    </row>
    <row r="678" spans="2:16" ht="25.5">
      <c r="B678" s="15" t="s">
        <v>376</v>
      </c>
      <c r="C678" s="50" t="s">
        <v>62</v>
      </c>
      <c r="D678" s="50" t="s">
        <v>43</v>
      </c>
      <c r="E678" s="50" t="s">
        <v>209</v>
      </c>
      <c r="F678" s="50"/>
      <c r="G678" s="204">
        <f>G679</f>
        <v>2550.4999999999995</v>
      </c>
      <c r="H678" s="204">
        <v>2549.9</v>
      </c>
      <c r="I678" s="212">
        <f t="shared" si="107"/>
        <v>0.99976475200941017</v>
      </c>
      <c r="J678" s="42"/>
      <c r="K678" s="43">
        <f t="shared" si="98"/>
        <v>0</v>
      </c>
      <c r="L678" s="43">
        <f t="shared" si="99"/>
        <v>0</v>
      </c>
      <c r="M678" s="43">
        <f t="shared" si="100"/>
        <v>0</v>
      </c>
      <c r="N678" s="57">
        <f t="shared" si="101"/>
        <v>0</v>
      </c>
      <c r="O678" s="57">
        <f t="shared" si="102"/>
        <v>0</v>
      </c>
      <c r="P678" s="57">
        <f t="shared" si="103"/>
        <v>0</v>
      </c>
    </row>
    <row r="679" spans="2:16" ht="25.5">
      <c r="B679" s="15" t="s">
        <v>30</v>
      </c>
      <c r="C679" s="50" t="s">
        <v>62</v>
      </c>
      <c r="D679" s="50" t="s">
        <v>43</v>
      </c>
      <c r="E679" s="50" t="s">
        <v>209</v>
      </c>
      <c r="F679" s="50" t="s">
        <v>31</v>
      </c>
      <c r="G679" s="204">
        <f>5835.9-4801.3+67.9-330+1778</f>
        <v>2550.4999999999995</v>
      </c>
      <c r="H679" s="204">
        <v>2549.9</v>
      </c>
      <c r="I679" s="212">
        <f t="shared" si="107"/>
        <v>0.99976475200941017</v>
      </c>
      <c r="J679" s="42">
        <v>2</v>
      </c>
      <c r="K679" s="43">
        <f t="shared" si="98"/>
        <v>0</v>
      </c>
      <c r="L679" s="43">
        <f t="shared" si="99"/>
        <v>0</v>
      </c>
      <c r="M679" s="43">
        <f t="shared" si="100"/>
        <v>0</v>
      </c>
      <c r="N679" s="57">
        <f t="shared" si="101"/>
        <v>2550.4999999999995</v>
      </c>
      <c r="O679" s="57">
        <f t="shared" si="102"/>
        <v>2549.9</v>
      </c>
      <c r="P679" s="57">
        <f t="shared" si="103"/>
        <v>0.99976475200941017</v>
      </c>
    </row>
    <row r="680" spans="2:16" ht="25.5" hidden="1">
      <c r="B680" s="15" t="s">
        <v>121</v>
      </c>
      <c r="C680" s="50" t="s">
        <v>62</v>
      </c>
      <c r="D680" s="50" t="s">
        <v>43</v>
      </c>
      <c r="E680" s="50" t="s">
        <v>176</v>
      </c>
      <c r="F680" s="50"/>
      <c r="G680" s="204">
        <f>G681+G682</f>
        <v>0</v>
      </c>
      <c r="H680" s="204"/>
      <c r="I680" s="212" t="e">
        <f t="shared" si="107"/>
        <v>#DIV/0!</v>
      </c>
      <c r="J680" s="42"/>
      <c r="K680" s="43">
        <f t="shared" si="98"/>
        <v>0</v>
      </c>
      <c r="L680" s="43">
        <f t="shared" si="99"/>
        <v>0</v>
      </c>
      <c r="M680" s="43">
        <f t="shared" si="100"/>
        <v>0</v>
      </c>
      <c r="N680" s="57">
        <f t="shared" si="101"/>
        <v>0</v>
      </c>
      <c r="O680" s="57">
        <f t="shared" si="102"/>
        <v>0</v>
      </c>
      <c r="P680" s="57">
        <f t="shared" si="103"/>
        <v>0</v>
      </c>
    </row>
    <row r="681" spans="2:16" hidden="1">
      <c r="B681" s="15" t="s">
        <v>19</v>
      </c>
      <c r="C681" s="50" t="s">
        <v>62</v>
      </c>
      <c r="D681" s="50" t="s">
        <v>43</v>
      </c>
      <c r="E681" s="50" t="s">
        <v>176</v>
      </c>
      <c r="F681" s="50" t="s">
        <v>20</v>
      </c>
      <c r="G681" s="204">
        <v>0</v>
      </c>
      <c r="H681" s="204"/>
      <c r="I681" s="212" t="e">
        <f t="shared" si="107"/>
        <v>#DIV/0!</v>
      </c>
      <c r="J681" s="42">
        <v>2</v>
      </c>
      <c r="K681" s="43">
        <f t="shared" si="98"/>
        <v>0</v>
      </c>
      <c r="L681" s="43">
        <f t="shared" si="99"/>
        <v>0</v>
      </c>
      <c r="M681" s="43">
        <f t="shared" si="100"/>
        <v>0</v>
      </c>
      <c r="N681" s="57">
        <f t="shared" si="101"/>
        <v>0</v>
      </c>
      <c r="O681" s="57">
        <f t="shared" si="102"/>
        <v>0</v>
      </c>
      <c r="P681" s="57" t="e">
        <f t="shared" si="103"/>
        <v>#DIV/0!</v>
      </c>
    </row>
    <row r="682" spans="2:16" ht="25.5" hidden="1">
      <c r="B682" s="15" t="s">
        <v>30</v>
      </c>
      <c r="C682" s="50" t="s">
        <v>62</v>
      </c>
      <c r="D682" s="50" t="s">
        <v>43</v>
      </c>
      <c r="E682" s="50" t="s">
        <v>176</v>
      </c>
      <c r="F682" s="50" t="s">
        <v>31</v>
      </c>
      <c r="G682" s="204">
        <v>0</v>
      </c>
      <c r="H682" s="204"/>
      <c r="I682" s="212" t="e">
        <f t="shared" si="107"/>
        <v>#DIV/0!</v>
      </c>
      <c r="J682" s="42">
        <v>2</v>
      </c>
      <c r="K682" s="43">
        <f t="shared" si="98"/>
        <v>0</v>
      </c>
      <c r="L682" s="43">
        <f t="shared" si="99"/>
        <v>0</v>
      </c>
      <c r="M682" s="43">
        <f t="shared" si="100"/>
        <v>0</v>
      </c>
      <c r="N682" s="57">
        <f t="shared" si="101"/>
        <v>0</v>
      </c>
      <c r="O682" s="57">
        <f t="shared" si="102"/>
        <v>0</v>
      </c>
      <c r="P682" s="57" t="e">
        <f t="shared" si="103"/>
        <v>#DIV/0!</v>
      </c>
    </row>
    <row r="683" spans="2:16" ht="38.25">
      <c r="B683" s="15" t="s">
        <v>602</v>
      </c>
      <c r="C683" s="50" t="s">
        <v>62</v>
      </c>
      <c r="D683" s="50" t="s">
        <v>43</v>
      </c>
      <c r="E683" s="50" t="s">
        <v>603</v>
      </c>
      <c r="F683" s="50"/>
      <c r="G683" s="204">
        <f>G684+G685</f>
        <v>139.4</v>
      </c>
      <c r="H683" s="204">
        <v>87.8</v>
      </c>
      <c r="I683" s="212">
        <f t="shared" si="107"/>
        <v>0.62984218077474885</v>
      </c>
      <c r="J683" s="42"/>
      <c r="K683" s="43">
        <f t="shared" si="98"/>
        <v>0</v>
      </c>
      <c r="L683" s="43">
        <f t="shared" si="99"/>
        <v>0</v>
      </c>
      <c r="M683" s="43">
        <f t="shared" si="100"/>
        <v>0</v>
      </c>
      <c r="N683" s="57">
        <f t="shared" si="101"/>
        <v>0</v>
      </c>
      <c r="O683" s="57">
        <f t="shared" si="102"/>
        <v>0</v>
      </c>
      <c r="P683" s="57">
        <f t="shared" si="103"/>
        <v>0</v>
      </c>
    </row>
    <row r="684" spans="2:16" ht="38.25">
      <c r="B684" s="15" t="s">
        <v>17</v>
      </c>
      <c r="C684" s="50" t="s">
        <v>62</v>
      </c>
      <c r="D684" s="50" t="s">
        <v>43</v>
      </c>
      <c r="E684" s="50" t="s">
        <v>603</v>
      </c>
      <c r="F684" s="50" t="s">
        <v>18</v>
      </c>
      <c r="G684" s="204">
        <f>52.2+15.8+19.7+40.4+6-6.2-1.9-1</f>
        <v>124.99999999999999</v>
      </c>
      <c r="H684" s="204">
        <v>84.8</v>
      </c>
      <c r="I684" s="212">
        <f t="shared" si="107"/>
        <v>0.6784</v>
      </c>
      <c r="J684" s="42">
        <v>2</v>
      </c>
      <c r="K684" s="43">
        <f t="shared" si="98"/>
        <v>0</v>
      </c>
      <c r="L684" s="43">
        <f t="shared" si="99"/>
        <v>0</v>
      </c>
      <c r="M684" s="43">
        <f t="shared" si="100"/>
        <v>0</v>
      </c>
      <c r="N684" s="57">
        <f t="shared" si="101"/>
        <v>124.99999999999999</v>
      </c>
      <c r="O684" s="57">
        <f t="shared" si="102"/>
        <v>84.8</v>
      </c>
      <c r="P684" s="57">
        <f t="shared" si="103"/>
        <v>0.6784</v>
      </c>
    </row>
    <row r="685" spans="2:16" ht="25.5">
      <c r="B685" s="15" t="s">
        <v>30</v>
      </c>
      <c r="C685" s="50" t="s">
        <v>62</v>
      </c>
      <c r="D685" s="50" t="s">
        <v>43</v>
      </c>
      <c r="E685" s="50" t="s">
        <v>603</v>
      </c>
      <c r="F685" s="50" t="s">
        <v>31</v>
      </c>
      <c r="G685" s="204">
        <f>72.4-66.1+8.1</f>
        <v>14.400000000000011</v>
      </c>
      <c r="H685" s="204">
        <v>3.7</v>
      </c>
      <c r="I685" s="212">
        <f t="shared" si="107"/>
        <v>0.25694444444444425</v>
      </c>
      <c r="J685" s="42">
        <v>2</v>
      </c>
      <c r="K685" s="43">
        <f t="shared" si="98"/>
        <v>0</v>
      </c>
      <c r="L685" s="43">
        <f t="shared" si="99"/>
        <v>0</v>
      </c>
      <c r="M685" s="43">
        <f t="shared" si="100"/>
        <v>0</v>
      </c>
      <c r="N685" s="57">
        <f t="shared" si="101"/>
        <v>14.400000000000011</v>
      </c>
      <c r="O685" s="57">
        <f t="shared" si="102"/>
        <v>3.7</v>
      </c>
      <c r="P685" s="57">
        <f t="shared" si="103"/>
        <v>0.25694444444444425</v>
      </c>
    </row>
    <row r="686" spans="2:16">
      <c r="B686" s="15" t="s">
        <v>100</v>
      </c>
      <c r="C686" s="50" t="s">
        <v>62</v>
      </c>
      <c r="D686" s="50" t="s">
        <v>43</v>
      </c>
      <c r="E686" s="50" t="s">
        <v>151</v>
      </c>
      <c r="F686" s="50"/>
      <c r="G686" s="204">
        <f>G687</f>
        <v>596.1</v>
      </c>
      <c r="H686" s="204">
        <v>468.5</v>
      </c>
      <c r="I686" s="212">
        <f t="shared" si="107"/>
        <v>0.78594195604764294</v>
      </c>
      <c r="J686" s="42"/>
      <c r="K686" s="43">
        <f t="shared" si="98"/>
        <v>0</v>
      </c>
      <c r="L686" s="43">
        <f t="shared" si="99"/>
        <v>0</v>
      </c>
      <c r="M686" s="43">
        <f t="shared" si="100"/>
        <v>0</v>
      </c>
      <c r="N686" s="57">
        <f t="shared" si="101"/>
        <v>0</v>
      </c>
      <c r="O686" s="57">
        <f t="shared" si="102"/>
        <v>0</v>
      </c>
      <c r="P686" s="57">
        <f t="shared" si="103"/>
        <v>0</v>
      </c>
    </row>
    <row r="687" spans="2:16">
      <c r="B687" s="15" t="s">
        <v>21</v>
      </c>
      <c r="C687" s="50" t="s">
        <v>62</v>
      </c>
      <c r="D687" s="50" t="s">
        <v>43</v>
      </c>
      <c r="E687" s="50" t="s">
        <v>151</v>
      </c>
      <c r="F687" s="50" t="s">
        <v>22</v>
      </c>
      <c r="G687" s="204">
        <f>523.2+12+60+0.9</f>
        <v>596.1</v>
      </c>
      <c r="H687" s="204">
        <v>468.5</v>
      </c>
      <c r="I687" s="212">
        <f t="shared" si="107"/>
        <v>0.78594195604764294</v>
      </c>
      <c r="J687" s="42">
        <v>1</v>
      </c>
      <c r="K687" s="43">
        <f t="shared" si="98"/>
        <v>596.1</v>
      </c>
      <c r="L687" s="43">
        <f t="shared" si="99"/>
        <v>468.5</v>
      </c>
      <c r="M687" s="43">
        <f t="shared" si="100"/>
        <v>0.78594195604764294</v>
      </c>
      <c r="N687" s="57">
        <f t="shared" si="101"/>
        <v>0</v>
      </c>
      <c r="O687" s="57">
        <f t="shared" si="102"/>
        <v>0</v>
      </c>
      <c r="P687" s="57">
        <f t="shared" si="103"/>
        <v>0</v>
      </c>
    </row>
    <row r="688" spans="2:16">
      <c r="B688" s="15" t="s">
        <v>385</v>
      </c>
      <c r="C688" s="50" t="s">
        <v>62</v>
      </c>
      <c r="D688" s="50" t="s">
        <v>43</v>
      </c>
      <c r="E688" s="50" t="s">
        <v>386</v>
      </c>
      <c r="F688" s="50"/>
      <c r="G688" s="204">
        <f>G689</f>
        <v>50</v>
      </c>
      <c r="H688" s="204">
        <v>50</v>
      </c>
      <c r="I688" s="212">
        <f t="shared" si="107"/>
        <v>1</v>
      </c>
      <c r="J688" s="42"/>
      <c r="K688" s="43">
        <f t="shared" si="98"/>
        <v>0</v>
      </c>
      <c r="L688" s="43">
        <f t="shared" si="99"/>
        <v>0</v>
      </c>
      <c r="M688" s="43">
        <f t="shared" si="100"/>
        <v>0</v>
      </c>
      <c r="N688" s="57">
        <f t="shared" si="101"/>
        <v>0</v>
      </c>
      <c r="O688" s="57">
        <f t="shared" si="102"/>
        <v>0</v>
      </c>
      <c r="P688" s="57">
        <f t="shared" si="103"/>
        <v>0</v>
      </c>
    </row>
    <row r="689" spans="2:16">
      <c r="B689" s="15" t="s">
        <v>21</v>
      </c>
      <c r="C689" s="50" t="s">
        <v>62</v>
      </c>
      <c r="D689" s="50" t="s">
        <v>43</v>
      </c>
      <c r="E689" s="50" t="s">
        <v>386</v>
      </c>
      <c r="F689" s="50" t="s">
        <v>22</v>
      </c>
      <c r="G689" s="204">
        <v>50</v>
      </c>
      <c r="H689" s="204">
        <v>50</v>
      </c>
      <c r="I689" s="212">
        <f t="shared" si="107"/>
        <v>1</v>
      </c>
      <c r="J689" s="42">
        <v>1</v>
      </c>
      <c r="K689" s="43">
        <f t="shared" si="98"/>
        <v>50</v>
      </c>
      <c r="L689" s="43">
        <f t="shared" si="99"/>
        <v>50</v>
      </c>
      <c r="M689" s="43">
        <f t="shared" si="100"/>
        <v>1</v>
      </c>
      <c r="N689" s="57">
        <f t="shared" si="101"/>
        <v>0</v>
      </c>
      <c r="O689" s="57">
        <f t="shared" si="102"/>
        <v>0</v>
      </c>
      <c r="P689" s="57">
        <f t="shared" si="103"/>
        <v>0</v>
      </c>
    </row>
    <row r="690" spans="2:16" ht="25.5" hidden="1">
      <c r="B690" s="15" t="s">
        <v>781</v>
      </c>
      <c r="C690" s="50" t="s">
        <v>62</v>
      </c>
      <c r="D690" s="50" t="s">
        <v>43</v>
      </c>
      <c r="E690" s="50" t="s">
        <v>782</v>
      </c>
      <c r="F690" s="50"/>
      <c r="G690" s="204">
        <f>G691+G692</f>
        <v>0</v>
      </c>
      <c r="H690" s="204">
        <v>0</v>
      </c>
      <c r="I690" s="207" t="e">
        <f t="shared" si="107"/>
        <v>#DIV/0!</v>
      </c>
      <c r="J690" s="42"/>
      <c r="K690" s="43">
        <f t="shared" si="98"/>
        <v>0</v>
      </c>
      <c r="L690" s="43">
        <f t="shared" si="99"/>
        <v>0</v>
      </c>
      <c r="M690" s="43">
        <f t="shared" si="100"/>
        <v>0</v>
      </c>
      <c r="N690" s="57">
        <f t="shared" si="101"/>
        <v>0</v>
      </c>
      <c r="O690" s="57">
        <f t="shared" si="102"/>
        <v>0</v>
      </c>
      <c r="P690" s="57">
        <f t="shared" si="103"/>
        <v>0</v>
      </c>
    </row>
    <row r="691" spans="2:16" ht="25.5" hidden="1">
      <c r="B691" s="15" t="s">
        <v>677</v>
      </c>
      <c r="C691" s="50" t="s">
        <v>62</v>
      </c>
      <c r="D691" s="50" t="s">
        <v>43</v>
      </c>
      <c r="E691" s="50" t="s">
        <v>782</v>
      </c>
      <c r="F691" s="50" t="s">
        <v>20</v>
      </c>
      <c r="G691" s="204">
        <v>0</v>
      </c>
      <c r="H691" s="204">
        <v>0</v>
      </c>
      <c r="I691" s="207" t="e">
        <f t="shared" si="107"/>
        <v>#DIV/0!</v>
      </c>
      <c r="J691" s="42">
        <v>2</v>
      </c>
      <c r="K691" s="43">
        <f t="shared" si="98"/>
        <v>0</v>
      </c>
      <c r="L691" s="43">
        <f t="shared" si="99"/>
        <v>0</v>
      </c>
      <c r="M691" s="43">
        <f t="shared" si="100"/>
        <v>0</v>
      </c>
      <c r="N691" s="57">
        <f t="shared" si="101"/>
        <v>0</v>
      </c>
      <c r="O691" s="57">
        <f t="shared" si="102"/>
        <v>0</v>
      </c>
      <c r="P691" s="57" t="e">
        <f t="shared" si="103"/>
        <v>#DIV/0!</v>
      </c>
    </row>
    <row r="692" spans="2:16" ht="25.5" hidden="1">
      <c r="B692" s="15" t="s">
        <v>504</v>
      </c>
      <c r="C692" s="50" t="s">
        <v>62</v>
      </c>
      <c r="D692" s="50" t="s">
        <v>43</v>
      </c>
      <c r="E692" s="50" t="s">
        <v>782</v>
      </c>
      <c r="F692" s="50" t="s">
        <v>20</v>
      </c>
      <c r="G692" s="204">
        <v>0</v>
      </c>
      <c r="H692" s="204">
        <v>0</v>
      </c>
      <c r="I692" s="207" t="e">
        <f t="shared" si="107"/>
        <v>#DIV/0!</v>
      </c>
      <c r="J692" s="42">
        <v>1</v>
      </c>
      <c r="K692" s="43">
        <f t="shared" si="98"/>
        <v>0</v>
      </c>
      <c r="L692" s="43">
        <f t="shared" si="99"/>
        <v>0</v>
      </c>
      <c r="M692" s="43" t="e">
        <f t="shared" si="100"/>
        <v>#DIV/0!</v>
      </c>
      <c r="N692" s="57">
        <f t="shared" si="101"/>
        <v>0</v>
      </c>
      <c r="O692" s="57">
        <f t="shared" si="102"/>
        <v>0</v>
      </c>
      <c r="P692" s="57">
        <f t="shared" si="103"/>
        <v>0</v>
      </c>
    </row>
    <row r="693" spans="2:16" ht="25.5" hidden="1">
      <c r="B693" s="15" t="s">
        <v>783</v>
      </c>
      <c r="C693" s="50" t="s">
        <v>62</v>
      </c>
      <c r="D693" s="50" t="s">
        <v>43</v>
      </c>
      <c r="E693" s="50" t="s">
        <v>785</v>
      </c>
      <c r="F693" s="50"/>
      <c r="G693" s="204">
        <f>SUM(G694:G695)</f>
        <v>0</v>
      </c>
      <c r="H693" s="204">
        <v>0</v>
      </c>
      <c r="I693" s="207" t="e">
        <f t="shared" si="107"/>
        <v>#DIV/0!</v>
      </c>
      <c r="J693" s="42"/>
      <c r="K693" s="43">
        <f t="shared" ref="K693:K762" si="109">SUMIF(J693,1,G693)</f>
        <v>0</v>
      </c>
      <c r="L693" s="43">
        <f t="shared" ref="L693:L762" si="110">SUMIF(J693,1,H693)</f>
        <v>0</v>
      </c>
      <c r="M693" s="43">
        <f t="shared" ref="M693:M762" si="111">SUMIF(J693,1,I693)</f>
        <v>0</v>
      </c>
      <c r="N693" s="57">
        <f t="shared" ref="N693:N762" si="112">SUMIF(J693,2,G693)</f>
        <v>0</v>
      </c>
      <c r="O693" s="57">
        <f t="shared" ref="O693:O762" si="113">SUMIF(J693,2,H693)</f>
        <v>0</v>
      </c>
      <c r="P693" s="57">
        <f t="shared" ref="P693:P762" si="114">SUMIF(J693,2,I693)</f>
        <v>0</v>
      </c>
    </row>
    <row r="694" spans="2:16" ht="25.5" hidden="1">
      <c r="B694" s="15" t="s">
        <v>509</v>
      </c>
      <c r="C694" s="50" t="s">
        <v>62</v>
      </c>
      <c r="D694" s="50" t="s">
        <v>43</v>
      </c>
      <c r="E694" s="50" t="s">
        <v>785</v>
      </c>
      <c r="F694" s="50" t="s">
        <v>20</v>
      </c>
      <c r="G694" s="204">
        <v>0</v>
      </c>
      <c r="H694" s="204">
        <v>0</v>
      </c>
      <c r="I694" s="207" t="e">
        <f t="shared" si="107"/>
        <v>#DIV/0!</v>
      </c>
      <c r="J694" s="42">
        <v>2</v>
      </c>
      <c r="K694" s="43">
        <f t="shared" si="109"/>
        <v>0</v>
      </c>
      <c r="L694" s="43">
        <f t="shared" si="110"/>
        <v>0</v>
      </c>
      <c r="M694" s="43">
        <f t="shared" si="111"/>
        <v>0</v>
      </c>
      <c r="N694" s="57">
        <f t="shared" si="112"/>
        <v>0</v>
      </c>
      <c r="O694" s="57">
        <f t="shared" si="113"/>
        <v>0</v>
      </c>
      <c r="P694" s="57" t="e">
        <f t="shared" si="114"/>
        <v>#DIV/0!</v>
      </c>
    </row>
    <row r="695" spans="2:16" ht="25.5" hidden="1">
      <c r="B695" s="15" t="s">
        <v>504</v>
      </c>
      <c r="C695" s="50" t="s">
        <v>62</v>
      </c>
      <c r="D695" s="50" t="s">
        <v>43</v>
      </c>
      <c r="E695" s="50" t="s">
        <v>785</v>
      </c>
      <c r="F695" s="50" t="s">
        <v>20</v>
      </c>
      <c r="G695" s="204">
        <v>0</v>
      </c>
      <c r="H695" s="204">
        <v>0</v>
      </c>
      <c r="I695" s="207" t="e">
        <f t="shared" si="107"/>
        <v>#DIV/0!</v>
      </c>
      <c r="J695" s="42">
        <v>1</v>
      </c>
      <c r="K695" s="43">
        <f t="shared" si="109"/>
        <v>0</v>
      </c>
      <c r="L695" s="43">
        <f t="shared" si="110"/>
        <v>0</v>
      </c>
      <c r="M695" s="43" t="e">
        <f t="shared" si="111"/>
        <v>#DIV/0!</v>
      </c>
      <c r="N695" s="57">
        <f t="shared" si="112"/>
        <v>0</v>
      </c>
      <c r="O695" s="57">
        <f t="shared" si="113"/>
        <v>0</v>
      </c>
      <c r="P695" s="57">
        <f t="shared" si="114"/>
        <v>0</v>
      </c>
    </row>
    <row r="696" spans="2:16" ht="25.5" hidden="1">
      <c r="B696" s="15" t="s">
        <v>784</v>
      </c>
      <c r="C696" s="50" t="s">
        <v>62</v>
      </c>
      <c r="D696" s="50" t="s">
        <v>43</v>
      </c>
      <c r="E696" s="50" t="s">
        <v>139</v>
      </c>
      <c r="F696" s="50"/>
      <c r="G696" s="204">
        <f>G697+G698</f>
        <v>0</v>
      </c>
      <c r="H696" s="204">
        <v>0</v>
      </c>
      <c r="I696" s="207" t="e">
        <f t="shared" si="107"/>
        <v>#DIV/0!</v>
      </c>
      <c r="J696" s="42"/>
      <c r="K696" s="43">
        <f t="shared" si="109"/>
        <v>0</v>
      </c>
      <c r="L696" s="43">
        <f t="shared" si="110"/>
        <v>0</v>
      </c>
      <c r="M696" s="43">
        <f t="shared" si="111"/>
        <v>0</v>
      </c>
      <c r="N696" s="57">
        <f t="shared" si="112"/>
        <v>0</v>
      </c>
      <c r="O696" s="57">
        <f t="shared" si="113"/>
        <v>0</v>
      </c>
      <c r="P696" s="57">
        <f t="shared" si="114"/>
        <v>0</v>
      </c>
    </row>
    <row r="697" spans="2:16" hidden="1">
      <c r="B697" s="15" t="s">
        <v>19</v>
      </c>
      <c r="C697" s="50" t="s">
        <v>62</v>
      </c>
      <c r="D697" s="50" t="s">
        <v>43</v>
      </c>
      <c r="E697" s="50" t="s">
        <v>786</v>
      </c>
      <c r="F697" s="50" t="s">
        <v>20</v>
      </c>
      <c r="G697" s="204">
        <v>0</v>
      </c>
      <c r="H697" s="204">
        <v>0</v>
      </c>
      <c r="I697" s="207" t="e">
        <f t="shared" si="107"/>
        <v>#DIV/0!</v>
      </c>
      <c r="J697" s="42">
        <v>1</v>
      </c>
      <c r="K697" s="43">
        <f t="shared" si="109"/>
        <v>0</v>
      </c>
      <c r="L697" s="43">
        <f t="shared" si="110"/>
        <v>0</v>
      </c>
      <c r="M697" s="43" t="e">
        <f t="shared" si="111"/>
        <v>#DIV/0!</v>
      </c>
      <c r="N697" s="57">
        <f t="shared" si="112"/>
        <v>0</v>
      </c>
      <c r="O697" s="57">
        <f t="shared" si="113"/>
        <v>0</v>
      </c>
      <c r="P697" s="57">
        <f t="shared" si="114"/>
        <v>0</v>
      </c>
    </row>
    <row r="698" spans="2:16" ht="25.5" hidden="1">
      <c r="B698" s="15" t="s">
        <v>509</v>
      </c>
      <c r="C698" s="50" t="s">
        <v>62</v>
      </c>
      <c r="D698" s="50" t="s">
        <v>43</v>
      </c>
      <c r="E698" s="50" t="s">
        <v>786</v>
      </c>
      <c r="F698" s="50" t="s">
        <v>20</v>
      </c>
      <c r="G698" s="204">
        <v>0</v>
      </c>
      <c r="H698" s="204">
        <v>0</v>
      </c>
      <c r="I698" s="207" t="e">
        <f t="shared" si="107"/>
        <v>#DIV/0!</v>
      </c>
      <c r="J698" s="42">
        <v>2</v>
      </c>
      <c r="K698" s="43">
        <f t="shared" si="109"/>
        <v>0</v>
      </c>
      <c r="L698" s="43">
        <f t="shared" si="110"/>
        <v>0</v>
      </c>
      <c r="M698" s="43">
        <f t="shared" si="111"/>
        <v>0</v>
      </c>
      <c r="N698" s="57">
        <f t="shared" si="112"/>
        <v>0</v>
      </c>
      <c r="O698" s="57">
        <f t="shared" si="113"/>
        <v>0</v>
      </c>
      <c r="P698" s="57" t="e">
        <f t="shared" si="114"/>
        <v>#DIV/0!</v>
      </c>
    </row>
    <row r="699" spans="2:16" ht="25.5" hidden="1">
      <c r="B699" s="15" t="s">
        <v>610</v>
      </c>
      <c r="C699" s="50" t="s">
        <v>62</v>
      </c>
      <c r="D699" s="50" t="s">
        <v>43</v>
      </c>
      <c r="E699" s="50" t="s">
        <v>139</v>
      </c>
      <c r="F699" s="50"/>
      <c r="G699" s="204">
        <f>G700+G701</f>
        <v>0</v>
      </c>
      <c r="H699" s="204">
        <v>0</v>
      </c>
      <c r="I699" s="207" t="e">
        <f t="shared" si="107"/>
        <v>#DIV/0!</v>
      </c>
      <c r="J699" s="42"/>
      <c r="K699" s="43">
        <f t="shared" si="109"/>
        <v>0</v>
      </c>
      <c r="L699" s="43">
        <f t="shared" si="110"/>
        <v>0</v>
      </c>
      <c r="M699" s="43">
        <f t="shared" si="111"/>
        <v>0</v>
      </c>
      <c r="N699" s="57">
        <f t="shared" si="112"/>
        <v>0</v>
      </c>
      <c r="O699" s="57">
        <f t="shared" si="113"/>
        <v>0</v>
      </c>
      <c r="P699" s="57">
        <f t="shared" si="114"/>
        <v>0</v>
      </c>
    </row>
    <row r="700" spans="2:16" ht="51" hidden="1">
      <c r="B700" s="15" t="s">
        <v>678</v>
      </c>
      <c r="C700" s="50" t="s">
        <v>62</v>
      </c>
      <c r="D700" s="50" t="s">
        <v>43</v>
      </c>
      <c r="E700" s="50" t="s">
        <v>595</v>
      </c>
      <c r="F700" s="50" t="s">
        <v>18</v>
      </c>
      <c r="G700" s="204">
        <v>0</v>
      </c>
      <c r="H700" s="204">
        <v>0</v>
      </c>
      <c r="I700" s="207" t="e">
        <f t="shared" si="107"/>
        <v>#DIV/0!</v>
      </c>
      <c r="J700" s="42">
        <v>2</v>
      </c>
      <c r="K700" s="43">
        <f t="shared" si="109"/>
        <v>0</v>
      </c>
      <c r="L700" s="43">
        <f t="shared" si="110"/>
        <v>0</v>
      </c>
      <c r="M700" s="43">
        <f t="shared" si="111"/>
        <v>0</v>
      </c>
      <c r="N700" s="57">
        <f t="shared" si="112"/>
        <v>0</v>
      </c>
      <c r="O700" s="57">
        <f t="shared" si="113"/>
        <v>0</v>
      </c>
      <c r="P700" s="57" t="e">
        <f t="shared" si="114"/>
        <v>#DIV/0!</v>
      </c>
    </row>
    <row r="701" spans="2:16" ht="25.5" hidden="1">
      <c r="B701" s="15" t="s">
        <v>559</v>
      </c>
      <c r="C701" s="50" t="s">
        <v>62</v>
      </c>
      <c r="D701" s="50" t="s">
        <v>43</v>
      </c>
      <c r="E701" s="50" t="s">
        <v>595</v>
      </c>
      <c r="F701" s="50" t="s">
        <v>31</v>
      </c>
      <c r="G701" s="204">
        <v>0</v>
      </c>
      <c r="H701" s="204">
        <v>0</v>
      </c>
      <c r="I701" s="207" t="e">
        <f t="shared" si="107"/>
        <v>#DIV/0!</v>
      </c>
      <c r="J701" s="42">
        <v>2</v>
      </c>
      <c r="K701" s="43">
        <f t="shared" si="109"/>
        <v>0</v>
      </c>
      <c r="L701" s="43">
        <f t="shared" si="110"/>
        <v>0</v>
      </c>
      <c r="M701" s="43">
        <f t="shared" si="111"/>
        <v>0</v>
      </c>
      <c r="N701" s="57">
        <f t="shared" si="112"/>
        <v>0</v>
      </c>
      <c r="O701" s="57">
        <f t="shared" si="113"/>
        <v>0</v>
      </c>
      <c r="P701" s="57" t="e">
        <f t="shared" si="114"/>
        <v>#DIV/0!</v>
      </c>
    </row>
    <row r="702" spans="2:16" hidden="1">
      <c r="B702" s="15" t="s">
        <v>626</v>
      </c>
      <c r="C702" s="50" t="s">
        <v>62</v>
      </c>
      <c r="D702" s="50" t="s">
        <v>43</v>
      </c>
      <c r="E702" s="50" t="s">
        <v>139</v>
      </c>
      <c r="F702" s="50"/>
      <c r="G702" s="204">
        <f>G703+G704+G705+G706</f>
        <v>0</v>
      </c>
      <c r="H702" s="204">
        <v>0</v>
      </c>
      <c r="I702" s="207" t="e">
        <f t="shared" si="107"/>
        <v>#DIV/0!</v>
      </c>
      <c r="J702" s="42"/>
      <c r="K702" s="43">
        <f t="shared" si="109"/>
        <v>0</v>
      </c>
      <c r="L702" s="43">
        <f t="shared" si="110"/>
        <v>0</v>
      </c>
      <c r="M702" s="43">
        <f t="shared" si="111"/>
        <v>0</v>
      </c>
      <c r="N702" s="57">
        <f t="shared" si="112"/>
        <v>0</v>
      </c>
      <c r="O702" s="57">
        <f t="shared" si="113"/>
        <v>0</v>
      </c>
      <c r="P702" s="57">
        <f t="shared" si="114"/>
        <v>0</v>
      </c>
    </row>
    <row r="703" spans="2:16" ht="25.5" hidden="1">
      <c r="B703" s="15" t="s">
        <v>509</v>
      </c>
      <c r="C703" s="50" t="s">
        <v>62</v>
      </c>
      <c r="D703" s="50" t="s">
        <v>43</v>
      </c>
      <c r="E703" s="50" t="s">
        <v>787</v>
      </c>
      <c r="F703" s="50" t="s">
        <v>20</v>
      </c>
      <c r="G703" s="204">
        <v>0</v>
      </c>
      <c r="H703" s="204">
        <v>0</v>
      </c>
      <c r="I703" s="207" t="e">
        <f t="shared" si="107"/>
        <v>#DIV/0!</v>
      </c>
      <c r="J703" s="42">
        <v>2</v>
      </c>
      <c r="K703" s="43">
        <f t="shared" si="109"/>
        <v>0</v>
      </c>
      <c r="L703" s="43">
        <f t="shared" si="110"/>
        <v>0</v>
      </c>
      <c r="M703" s="43">
        <f t="shared" si="111"/>
        <v>0</v>
      </c>
      <c r="N703" s="57">
        <f t="shared" si="112"/>
        <v>0</v>
      </c>
      <c r="O703" s="57">
        <f t="shared" si="113"/>
        <v>0</v>
      </c>
      <c r="P703" s="57" t="e">
        <f t="shared" si="114"/>
        <v>#DIV/0!</v>
      </c>
    </row>
    <row r="704" spans="2:16" ht="25.5" hidden="1">
      <c r="B704" s="15" t="s">
        <v>504</v>
      </c>
      <c r="C704" s="50" t="s">
        <v>62</v>
      </c>
      <c r="D704" s="50" t="s">
        <v>43</v>
      </c>
      <c r="E704" s="50" t="s">
        <v>787</v>
      </c>
      <c r="F704" s="50" t="s">
        <v>20</v>
      </c>
      <c r="G704" s="204">
        <v>0</v>
      </c>
      <c r="H704" s="204">
        <v>0</v>
      </c>
      <c r="I704" s="207" t="e">
        <f t="shared" si="107"/>
        <v>#DIV/0!</v>
      </c>
      <c r="J704" s="42"/>
      <c r="K704" s="43"/>
      <c r="L704" s="43"/>
      <c r="M704" s="43"/>
      <c r="N704" s="57"/>
      <c r="O704" s="57"/>
      <c r="P704" s="57"/>
    </row>
    <row r="705" spans="2:16" ht="25.5" hidden="1">
      <c r="B705" s="15" t="s">
        <v>559</v>
      </c>
      <c r="C705" s="50" t="s">
        <v>62</v>
      </c>
      <c r="D705" s="50" t="s">
        <v>43</v>
      </c>
      <c r="E705" s="50" t="s">
        <v>787</v>
      </c>
      <c r="F705" s="50" t="s">
        <v>31</v>
      </c>
      <c r="G705" s="204">
        <v>0</v>
      </c>
      <c r="H705" s="204">
        <v>0</v>
      </c>
      <c r="I705" s="207" t="e">
        <f t="shared" si="107"/>
        <v>#DIV/0!</v>
      </c>
      <c r="J705" s="42">
        <v>2</v>
      </c>
      <c r="K705" s="43">
        <f t="shared" si="109"/>
        <v>0</v>
      </c>
      <c r="L705" s="43">
        <f t="shared" si="110"/>
        <v>0</v>
      </c>
      <c r="M705" s="43">
        <f t="shared" si="111"/>
        <v>0</v>
      </c>
      <c r="N705" s="57">
        <f t="shared" si="112"/>
        <v>0</v>
      </c>
      <c r="O705" s="57">
        <f t="shared" si="113"/>
        <v>0</v>
      </c>
      <c r="P705" s="57" t="e">
        <f t="shared" si="114"/>
        <v>#DIV/0!</v>
      </c>
    </row>
    <row r="706" spans="2:16" ht="25.5" hidden="1">
      <c r="B706" s="15" t="s">
        <v>554</v>
      </c>
      <c r="C706" s="50" t="s">
        <v>62</v>
      </c>
      <c r="D706" s="50" t="s">
        <v>43</v>
      </c>
      <c r="E706" s="50" t="s">
        <v>787</v>
      </c>
      <c r="F706" s="50" t="s">
        <v>31</v>
      </c>
      <c r="G706" s="204">
        <v>0</v>
      </c>
      <c r="H706" s="204">
        <v>0</v>
      </c>
      <c r="I706" s="207" t="e">
        <f t="shared" si="107"/>
        <v>#DIV/0!</v>
      </c>
      <c r="J706" s="42"/>
      <c r="K706" s="43"/>
      <c r="L706" s="43"/>
      <c r="M706" s="43"/>
      <c r="N706" s="57"/>
      <c r="O706" s="57"/>
      <c r="P706" s="57"/>
    </row>
    <row r="707" spans="2:16" ht="25.5" hidden="1">
      <c r="B707" s="15" t="s">
        <v>627</v>
      </c>
      <c r="C707" s="50" t="s">
        <v>62</v>
      </c>
      <c r="D707" s="50" t="s">
        <v>43</v>
      </c>
      <c r="E707" s="50" t="s">
        <v>139</v>
      </c>
      <c r="F707" s="50"/>
      <c r="G707" s="204">
        <f>G708+G709+G710+G711</f>
        <v>0</v>
      </c>
      <c r="H707" s="204">
        <v>0</v>
      </c>
      <c r="I707" s="207" t="e">
        <f t="shared" si="107"/>
        <v>#DIV/0!</v>
      </c>
      <c r="J707" s="42"/>
      <c r="K707" s="43">
        <f t="shared" si="109"/>
        <v>0</v>
      </c>
      <c r="L707" s="43">
        <f t="shared" si="110"/>
        <v>0</v>
      </c>
      <c r="M707" s="43">
        <f t="shared" si="111"/>
        <v>0</v>
      </c>
      <c r="N707" s="57">
        <f t="shared" si="112"/>
        <v>0</v>
      </c>
      <c r="O707" s="57">
        <f t="shared" si="113"/>
        <v>0</v>
      </c>
      <c r="P707" s="57">
        <f t="shared" si="114"/>
        <v>0</v>
      </c>
    </row>
    <row r="708" spans="2:16" ht="25.5" hidden="1">
      <c r="B708" s="15" t="s">
        <v>509</v>
      </c>
      <c r="C708" s="50" t="s">
        <v>62</v>
      </c>
      <c r="D708" s="50" t="s">
        <v>43</v>
      </c>
      <c r="E708" s="50" t="s">
        <v>176</v>
      </c>
      <c r="F708" s="50" t="s">
        <v>20</v>
      </c>
      <c r="G708" s="204">
        <v>0</v>
      </c>
      <c r="H708" s="204">
        <v>0</v>
      </c>
      <c r="I708" s="207" t="e">
        <f t="shared" si="107"/>
        <v>#DIV/0!</v>
      </c>
      <c r="J708" s="42">
        <v>2</v>
      </c>
      <c r="K708" s="43">
        <f t="shared" si="109"/>
        <v>0</v>
      </c>
      <c r="L708" s="43">
        <f t="shared" si="110"/>
        <v>0</v>
      </c>
      <c r="M708" s="43">
        <f t="shared" si="111"/>
        <v>0</v>
      </c>
      <c r="N708" s="57">
        <f t="shared" si="112"/>
        <v>0</v>
      </c>
      <c r="O708" s="57">
        <f t="shared" si="113"/>
        <v>0</v>
      </c>
      <c r="P708" s="57" t="e">
        <f t="shared" si="114"/>
        <v>#DIV/0!</v>
      </c>
    </row>
    <row r="709" spans="2:16" ht="25.5" hidden="1">
      <c r="B709" s="15" t="s">
        <v>504</v>
      </c>
      <c r="C709" s="50" t="s">
        <v>62</v>
      </c>
      <c r="D709" s="50" t="s">
        <v>43</v>
      </c>
      <c r="E709" s="50" t="s">
        <v>176</v>
      </c>
      <c r="F709" s="50" t="s">
        <v>20</v>
      </c>
      <c r="G709" s="204">
        <v>0</v>
      </c>
      <c r="H709" s="204">
        <v>0</v>
      </c>
      <c r="I709" s="207" t="e">
        <f t="shared" si="107"/>
        <v>#DIV/0!</v>
      </c>
      <c r="J709" s="42"/>
      <c r="K709" s="43"/>
      <c r="L709" s="43"/>
      <c r="M709" s="43"/>
      <c r="N709" s="57"/>
      <c r="O709" s="57"/>
      <c r="P709" s="57"/>
    </row>
    <row r="710" spans="2:16" ht="25.5" hidden="1">
      <c r="B710" s="15" t="s">
        <v>559</v>
      </c>
      <c r="C710" s="50" t="s">
        <v>62</v>
      </c>
      <c r="D710" s="50" t="s">
        <v>43</v>
      </c>
      <c r="E710" s="50" t="s">
        <v>176</v>
      </c>
      <c r="F710" s="50" t="s">
        <v>31</v>
      </c>
      <c r="G710" s="204">
        <v>0</v>
      </c>
      <c r="H710" s="204">
        <v>0</v>
      </c>
      <c r="I710" s="207" t="e">
        <f t="shared" si="107"/>
        <v>#DIV/0!</v>
      </c>
      <c r="J710" s="42">
        <v>2</v>
      </c>
      <c r="K710" s="43">
        <f t="shared" si="109"/>
        <v>0</v>
      </c>
      <c r="L710" s="43">
        <f t="shared" si="110"/>
        <v>0</v>
      </c>
      <c r="M710" s="43">
        <f t="shared" si="111"/>
        <v>0</v>
      </c>
      <c r="N710" s="57">
        <f t="shared" si="112"/>
        <v>0</v>
      </c>
      <c r="O710" s="57">
        <f t="shared" si="113"/>
        <v>0</v>
      </c>
      <c r="P710" s="57" t="e">
        <f t="shared" si="114"/>
        <v>#DIV/0!</v>
      </c>
    </row>
    <row r="711" spans="2:16" ht="25.5" hidden="1">
      <c r="B711" s="15" t="s">
        <v>554</v>
      </c>
      <c r="C711" s="50" t="s">
        <v>62</v>
      </c>
      <c r="D711" s="50" t="s">
        <v>43</v>
      </c>
      <c r="E711" s="50" t="s">
        <v>176</v>
      </c>
      <c r="F711" s="50" t="s">
        <v>31</v>
      </c>
      <c r="G711" s="204">
        <v>0</v>
      </c>
      <c r="H711" s="204">
        <v>0</v>
      </c>
      <c r="I711" s="207" t="e">
        <f t="shared" si="107"/>
        <v>#DIV/0!</v>
      </c>
      <c r="J711" s="42"/>
      <c r="K711" s="43"/>
      <c r="L711" s="43"/>
      <c r="M711" s="43"/>
      <c r="N711" s="57"/>
      <c r="O711" s="57"/>
      <c r="P711" s="57"/>
    </row>
    <row r="712" spans="2:16">
      <c r="B712" s="14" t="s">
        <v>203</v>
      </c>
      <c r="C712" s="11" t="s">
        <v>62</v>
      </c>
      <c r="D712" s="11" t="s">
        <v>204</v>
      </c>
      <c r="E712" s="50"/>
      <c r="F712" s="50"/>
      <c r="G712" s="203">
        <f>G721+G726+G724+G713</f>
        <v>9276.9</v>
      </c>
      <c r="H712" s="203">
        <v>8746.2999999999993</v>
      </c>
      <c r="I712" s="207">
        <f t="shared" si="107"/>
        <v>0.94280416949627566</v>
      </c>
      <c r="J712" s="42"/>
      <c r="K712" s="43">
        <f t="shared" si="109"/>
        <v>0</v>
      </c>
      <c r="L712" s="43">
        <f t="shared" si="110"/>
        <v>0</v>
      </c>
      <c r="M712" s="43">
        <f t="shared" si="111"/>
        <v>0</v>
      </c>
      <c r="N712" s="57">
        <f t="shared" si="112"/>
        <v>0</v>
      </c>
      <c r="O712" s="57">
        <f t="shared" si="113"/>
        <v>0</v>
      </c>
      <c r="P712" s="57">
        <f t="shared" si="114"/>
        <v>0</v>
      </c>
    </row>
    <row r="713" spans="2:16" s="6" customFormat="1" ht="38.25" hidden="1">
      <c r="B713" s="74" t="s">
        <v>493</v>
      </c>
      <c r="C713" s="11" t="s">
        <v>62</v>
      </c>
      <c r="D713" s="11" t="s">
        <v>204</v>
      </c>
      <c r="E713" s="11" t="s">
        <v>346</v>
      </c>
      <c r="F713" s="11"/>
      <c r="G713" s="203">
        <f>G714+G717</f>
        <v>0</v>
      </c>
      <c r="H713" s="203">
        <v>0</v>
      </c>
      <c r="I713" s="207" t="e">
        <f t="shared" si="107"/>
        <v>#DIV/0!</v>
      </c>
      <c r="J713" s="13"/>
      <c r="K713" s="43">
        <f t="shared" si="109"/>
        <v>0</v>
      </c>
      <c r="L713" s="43">
        <f t="shared" si="110"/>
        <v>0</v>
      </c>
      <c r="M713" s="43">
        <f t="shared" si="111"/>
        <v>0</v>
      </c>
      <c r="N713" s="57">
        <f t="shared" si="112"/>
        <v>0</v>
      </c>
      <c r="O713" s="57">
        <f t="shared" si="113"/>
        <v>0</v>
      </c>
      <c r="P713" s="57">
        <f t="shared" si="114"/>
        <v>0</v>
      </c>
    </row>
    <row r="714" spans="2:16" s="6" customFormat="1" hidden="1">
      <c r="B714" s="15" t="s">
        <v>362</v>
      </c>
      <c r="C714" s="50" t="s">
        <v>62</v>
      </c>
      <c r="D714" s="50" t="s">
        <v>204</v>
      </c>
      <c r="E714" s="50" t="s">
        <v>357</v>
      </c>
      <c r="F714" s="50"/>
      <c r="G714" s="204">
        <f>G715+G716</f>
        <v>0</v>
      </c>
      <c r="H714" s="204"/>
      <c r="I714" s="207" t="e">
        <f t="shared" si="107"/>
        <v>#DIV/0!</v>
      </c>
      <c r="J714" s="46"/>
      <c r="K714" s="43">
        <f t="shared" si="109"/>
        <v>0</v>
      </c>
      <c r="L714" s="43">
        <f t="shared" si="110"/>
        <v>0</v>
      </c>
      <c r="M714" s="43">
        <f t="shared" si="111"/>
        <v>0</v>
      </c>
      <c r="N714" s="57">
        <f t="shared" si="112"/>
        <v>0</v>
      </c>
      <c r="O714" s="57">
        <f t="shared" si="113"/>
        <v>0</v>
      </c>
      <c r="P714" s="57">
        <f t="shared" si="114"/>
        <v>0</v>
      </c>
    </row>
    <row r="715" spans="2:16" s="6" customFormat="1" hidden="1">
      <c r="B715" s="15" t="s">
        <v>19</v>
      </c>
      <c r="C715" s="50" t="s">
        <v>62</v>
      </c>
      <c r="D715" s="50" t="s">
        <v>204</v>
      </c>
      <c r="E715" s="50" t="s">
        <v>354</v>
      </c>
      <c r="F715" s="50" t="s">
        <v>20</v>
      </c>
      <c r="G715" s="204">
        <v>0</v>
      </c>
      <c r="H715" s="204"/>
      <c r="I715" s="207" t="e">
        <f t="shared" si="107"/>
        <v>#DIV/0!</v>
      </c>
      <c r="J715" s="13">
        <v>1</v>
      </c>
      <c r="K715" s="43">
        <f t="shared" si="109"/>
        <v>0</v>
      </c>
      <c r="L715" s="43">
        <f t="shared" si="110"/>
        <v>0</v>
      </c>
      <c r="M715" s="43" t="e">
        <f t="shared" si="111"/>
        <v>#DIV/0!</v>
      </c>
      <c r="N715" s="57">
        <f t="shared" si="112"/>
        <v>0</v>
      </c>
      <c r="O715" s="57">
        <f t="shared" si="113"/>
        <v>0</v>
      </c>
      <c r="P715" s="57">
        <f t="shared" si="114"/>
        <v>0</v>
      </c>
    </row>
    <row r="716" spans="2:16" s="6" customFormat="1" ht="25.5" hidden="1">
      <c r="B716" s="15" t="s">
        <v>509</v>
      </c>
      <c r="C716" s="50" t="s">
        <v>62</v>
      </c>
      <c r="D716" s="50" t="s">
        <v>204</v>
      </c>
      <c r="E716" s="50" t="s">
        <v>354</v>
      </c>
      <c r="F716" s="50" t="s">
        <v>20</v>
      </c>
      <c r="G716" s="204">
        <v>0</v>
      </c>
      <c r="H716" s="204"/>
      <c r="I716" s="207" t="e">
        <f t="shared" si="107"/>
        <v>#DIV/0!</v>
      </c>
      <c r="J716" s="13">
        <v>2</v>
      </c>
      <c r="K716" s="43">
        <f t="shared" si="109"/>
        <v>0</v>
      </c>
      <c r="L716" s="43">
        <f t="shared" si="110"/>
        <v>0</v>
      </c>
      <c r="M716" s="43">
        <f t="shared" si="111"/>
        <v>0</v>
      </c>
      <c r="N716" s="57">
        <f t="shared" si="112"/>
        <v>0</v>
      </c>
      <c r="O716" s="57">
        <f t="shared" si="113"/>
        <v>0</v>
      </c>
      <c r="P716" s="57" t="e">
        <f t="shared" si="114"/>
        <v>#DIV/0!</v>
      </c>
    </row>
    <row r="717" spans="2:16" s="6" customFormat="1" hidden="1">
      <c r="B717" s="15" t="s">
        <v>362</v>
      </c>
      <c r="C717" s="50" t="s">
        <v>62</v>
      </c>
      <c r="D717" s="50" t="s">
        <v>204</v>
      </c>
      <c r="E717" s="50" t="s">
        <v>358</v>
      </c>
      <c r="F717" s="50"/>
      <c r="G717" s="204">
        <f>G718+G719+G720</f>
        <v>0</v>
      </c>
      <c r="H717" s="204">
        <v>0</v>
      </c>
      <c r="I717" s="207" t="e">
        <f t="shared" si="107"/>
        <v>#DIV/0!</v>
      </c>
      <c r="J717" s="46"/>
      <c r="K717" s="43">
        <f t="shared" si="109"/>
        <v>0</v>
      </c>
      <c r="L717" s="43">
        <f t="shared" si="110"/>
        <v>0</v>
      </c>
      <c r="M717" s="43">
        <f t="shared" si="111"/>
        <v>0</v>
      </c>
      <c r="N717" s="57">
        <f t="shared" si="112"/>
        <v>0</v>
      </c>
      <c r="O717" s="57">
        <f t="shared" si="113"/>
        <v>0</v>
      </c>
      <c r="P717" s="57">
        <f t="shared" si="114"/>
        <v>0</v>
      </c>
    </row>
    <row r="718" spans="2:16" s="6" customFormat="1" ht="25.5" hidden="1">
      <c r="B718" s="15" t="s">
        <v>509</v>
      </c>
      <c r="C718" s="50" t="s">
        <v>62</v>
      </c>
      <c r="D718" s="50" t="s">
        <v>204</v>
      </c>
      <c r="E718" s="50" t="s">
        <v>552</v>
      </c>
      <c r="F718" s="50" t="s">
        <v>20</v>
      </c>
      <c r="G718" s="204">
        <f>3444.7-3444.7</f>
        <v>0</v>
      </c>
      <c r="H718" s="204">
        <v>0</v>
      </c>
      <c r="I718" s="207" t="e">
        <f t="shared" si="107"/>
        <v>#DIV/0!</v>
      </c>
      <c r="J718" s="13">
        <v>2</v>
      </c>
      <c r="K718" s="43">
        <f t="shared" si="109"/>
        <v>0</v>
      </c>
      <c r="L718" s="43">
        <f t="shared" si="110"/>
        <v>0</v>
      </c>
      <c r="M718" s="43">
        <f t="shared" si="111"/>
        <v>0</v>
      </c>
      <c r="N718" s="57">
        <f t="shared" si="112"/>
        <v>0</v>
      </c>
      <c r="O718" s="57">
        <f t="shared" si="113"/>
        <v>0</v>
      </c>
      <c r="P718" s="57" t="e">
        <f t="shared" si="114"/>
        <v>#DIV/0!</v>
      </c>
    </row>
    <row r="719" spans="2:16" s="6" customFormat="1" ht="25.5" hidden="1">
      <c r="B719" s="15" t="s">
        <v>504</v>
      </c>
      <c r="C719" s="50" t="s">
        <v>62</v>
      </c>
      <c r="D719" s="50" t="s">
        <v>204</v>
      </c>
      <c r="E719" s="50" t="s">
        <v>552</v>
      </c>
      <c r="F719" s="50" t="s">
        <v>20</v>
      </c>
      <c r="G719" s="204">
        <f>181.3-181.3</f>
        <v>0</v>
      </c>
      <c r="H719" s="204">
        <v>0</v>
      </c>
      <c r="I719" s="207" t="e">
        <f t="shared" si="107"/>
        <v>#DIV/0!</v>
      </c>
      <c r="J719" s="13">
        <v>1</v>
      </c>
      <c r="K719" s="43">
        <f t="shared" si="109"/>
        <v>0</v>
      </c>
      <c r="L719" s="43">
        <f t="shared" si="110"/>
        <v>0</v>
      </c>
      <c r="M719" s="43" t="e">
        <f t="shared" si="111"/>
        <v>#DIV/0!</v>
      </c>
      <c r="N719" s="57">
        <f t="shared" si="112"/>
        <v>0</v>
      </c>
      <c r="O719" s="57">
        <f t="shared" si="113"/>
        <v>0</v>
      </c>
      <c r="P719" s="57">
        <f t="shared" si="114"/>
        <v>0</v>
      </c>
    </row>
    <row r="720" spans="2:16" s="6" customFormat="1" hidden="1">
      <c r="B720" s="15" t="s">
        <v>19</v>
      </c>
      <c r="C720" s="50" t="s">
        <v>62</v>
      </c>
      <c r="D720" s="50" t="s">
        <v>204</v>
      </c>
      <c r="E720" s="50" t="s">
        <v>353</v>
      </c>
      <c r="F720" s="50" t="s">
        <v>20</v>
      </c>
      <c r="G720" s="204">
        <f>1000-1000</f>
        <v>0</v>
      </c>
      <c r="H720" s="204">
        <v>0</v>
      </c>
      <c r="I720" s="207" t="e">
        <f t="shared" si="107"/>
        <v>#DIV/0!</v>
      </c>
      <c r="J720" s="13">
        <v>1</v>
      </c>
      <c r="K720" s="43">
        <f t="shared" si="109"/>
        <v>0</v>
      </c>
      <c r="L720" s="43">
        <f t="shared" si="110"/>
        <v>0</v>
      </c>
      <c r="M720" s="43" t="e">
        <f t="shared" si="111"/>
        <v>#DIV/0!</v>
      </c>
      <c r="N720" s="57">
        <f t="shared" si="112"/>
        <v>0</v>
      </c>
      <c r="O720" s="57">
        <f t="shared" si="113"/>
        <v>0</v>
      </c>
      <c r="P720" s="57">
        <f t="shared" si="114"/>
        <v>0</v>
      </c>
    </row>
    <row r="721" spans="2:16">
      <c r="B721" s="15" t="s">
        <v>105</v>
      </c>
      <c r="C721" s="50" t="s">
        <v>62</v>
      </c>
      <c r="D721" s="50" t="s">
        <v>204</v>
      </c>
      <c r="E721" s="50" t="s">
        <v>148</v>
      </c>
      <c r="F721" s="50"/>
      <c r="G721" s="204">
        <f>G722+G723</f>
        <v>8654.9</v>
      </c>
      <c r="H721" s="204">
        <v>8344.6</v>
      </c>
      <c r="I721" s="212">
        <f t="shared" si="107"/>
        <v>0.96414747715167137</v>
      </c>
      <c r="J721" s="42"/>
      <c r="K721" s="43">
        <f t="shared" si="109"/>
        <v>0</v>
      </c>
      <c r="L721" s="43">
        <f t="shared" si="110"/>
        <v>0</v>
      </c>
      <c r="M721" s="43">
        <f t="shared" si="111"/>
        <v>0</v>
      </c>
      <c r="N721" s="57">
        <f t="shared" si="112"/>
        <v>0</v>
      </c>
      <c r="O721" s="57">
        <f t="shared" si="113"/>
        <v>0</v>
      </c>
      <c r="P721" s="57">
        <f t="shared" si="114"/>
        <v>0</v>
      </c>
    </row>
    <row r="722" spans="2:16" ht="42" customHeight="1">
      <c r="B722" s="15" t="s">
        <v>17</v>
      </c>
      <c r="C722" s="50" t="s">
        <v>62</v>
      </c>
      <c r="D722" s="50" t="s">
        <v>204</v>
      </c>
      <c r="E722" s="50" t="s">
        <v>148</v>
      </c>
      <c r="F722" s="50" t="s">
        <v>18</v>
      </c>
      <c r="G722" s="204">
        <f>7054.9+170.2+51.8+36+11</f>
        <v>7323.9</v>
      </c>
      <c r="H722" s="204">
        <v>7318.3</v>
      </c>
      <c r="I722" s="212">
        <f t="shared" si="107"/>
        <v>0.99923538005707346</v>
      </c>
      <c r="J722" s="42">
        <v>1</v>
      </c>
      <c r="K722" s="43">
        <f t="shared" si="109"/>
        <v>7323.9</v>
      </c>
      <c r="L722" s="43">
        <f t="shared" si="110"/>
        <v>7318.3</v>
      </c>
      <c r="M722" s="43">
        <f t="shared" si="111"/>
        <v>0.99923538005707346</v>
      </c>
      <c r="N722" s="57">
        <f t="shared" si="112"/>
        <v>0</v>
      </c>
      <c r="O722" s="57">
        <f t="shared" si="113"/>
        <v>0</v>
      </c>
      <c r="P722" s="57">
        <f t="shared" si="114"/>
        <v>0</v>
      </c>
    </row>
    <row r="723" spans="2:16">
      <c r="B723" s="15" t="s">
        <v>19</v>
      </c>
      <c r="C723" s="50" t="s">
        <v>62</v>
      </c>
      <c r="D723" s="50" t="s">
        <v>204</v>
      </c>
      <c r="E723" s="50" t="s">
        <v>148</v>
      </c>
      <c r="F723" s="50" t="s">
        <v>20</v>
      </c>
      <c r="G723" s="204">
        <f>50+882.1+40+37.4+6+55.5+91+21+3+135+10</f>
        <v>1331</v>
      </c>
      <c r="H723" s="204">
        <v>1026.3</v>
      </c>
      <c r="I723" s="212">
        <f t="shared" si="107"/>
        <v>0.77107438016528917</v>
      </c>
      <c r="J723" s="42">
        <v>1</v>
      </c>
      <c r="K723" s="43">
        <f t="shared" si="109"/>
        <v>1331</v>
      </c>
      <c r="L723" s="43">
        <f t="shared" si="110"/>
        <v>1026.3</v>
      </c>
      <c r="M723" s="43">
        <f t="shared" si="111"/>
        <v>0.77107438016528917</v>
      </c>
      <c r="N723" s="57">
        <f t="shared" si="112"/>
        <v>0</v>
      </c>
      <c r="O723" s="57">
        <f t="shared" si="113"/>
        <v>0</v>
      </c>
      <c r="P723" s="57">
        <f t="shared" si="114"/>
        <v>0</v>
      </c>
    </row>
    <row r="724" spans="2:16">
      <c r="B724" s="15" t="s">
        <v>514</v>
      </c>
      <c r="C724" s="50" t="s">
        <v>62</v>
      </c>
      <c r="D724" s="50" t="s">
        <v>204</v>
      </c>
      <c r="E724" s="50" t="s">
        <v>502</v>
      </c>
      <c r="F724" s="50"/>
      <c r="G724" s="204">
        <f>G725</f>
        <v>500</v>
      </c>
      <c r="H724" s="204">
        <v>286.39999999999998</v>
      </c>
      <c r="I724" s="212">
        <f t="shared" si="107"/>
        <v>0.57279999999999998</v>
      </c>
      <c r="J724" s="42"/>
      <c r="K724" s="43">
        <f t="shared" si="109"/>
        <v>0</v>
      </c>
      <c r="L724" s="43">
        <f t="shared" si="110"/>
        <v>0</v>
      </c>
      <c r="M724" s="43">
        <f t="shared" si="111"/>
        <v>0</v>
      </c>
      <c r="N724" s="57">
        <f t="shared" si="112"/>
        <v>0</v>
      </c>
      <c r="O724" s="57">
        <f t="shared" si="113"/>
        <v>0</v>
      </c>
      <c r="P724" s="57">
        <f t="shared" si="114"/>
        <v>0</v>
      </c>
    </row>
    <row r="725" spans="2:16">
      <c r="B725" s="15" t="s">
        <v>19</v>
      </c>
      <c r="C725" s="50" t="s">
        <v>62</v>
      </c>
      <c r="D725" s="50" t="s">
        <v>204</v>
      </c>
      <c r="E725" s="50" t="s">
        <v>502</v>
      </c>
      <c r="F725" s="50" t="s">
        <v>20</v>
      </c>
      <c r="G725" s="204">
        <v>500</v>
      </c>
      <c r="H725" s="204">
        <v>286.39999999999998</v>
      </c>
      <c r="I725" s="212">
        <f t="shared" si="107"/>
        <v>0.57279999999999998</v>
      </c>
      <c r="J725" s="42">
        <v>1</v>
      </c>
      <c r="K725" s="43">
        <f t="shared" si="109"/>
        <v>500</v>
      </c>
      <c r="L725" s="43">
        <f t="shared" si="110"/>
        <v>286.39999999999998</v>
      </c>
      <c r="M725" s="43">
        <f t="shared" si="111"/>
        <v>0.57279999999999998</v>
      </c>
      <c r="N725" s="57">
        <f t="shared" si="112"/>
        <v>0</v>
      </c>
      <c r="O725" s="57">
        <f t="shared" si="113"/>
        <v>0</v>
      </c>
      <c r="P725" s="57">
        <f t="shared" si="114"/>
        <v>0</v>
      </c>
    </row>
    <row r="726" spans="2:16">
      <c r="B726" s="15" t="s">
        <v>100</v>
      </c>
      <c r="C726" s="50" t="s">
        <v>62</v>
      </c>
      <c r="D726" s="50" t="s">
        <v>204</v>
      </c>
      <c r="E726" s="50" t="s">
        <v>151</v>
      </c>
      <c r="F726" s="50"/>
      <c r="G726" s="204">
        <f>G727</f>
        <v>122</v>
      </c>
      <c r="H726" s="204">
        <v>115.3</v>
      </c>
      <c r="I726" s="212">
        <f t="shared" si="107"/>
        <v>0.94508196721311477</v>
      </c>
      <c r="J726" s="42"/>
      <c r="K726" s="43">
        <f t="shared" si="109"/>
        <v>0</v>
      </c>
      <c r="L726" s="43">
        <f t="shared" si="110"/>
        <v>0</v>
      </c>
      <c r="M726" s="43">
        <f t="shared" si="111"/>
        <v>0</v>
      </c>
      <c r="N726" s="57">
        <f t="shared" si="112"/>
        <v>0</v>
      </c>
      <c r="O726" s="57">
        <f t="shared" si="113"/>
        <v>0</v>
      </c>
      <c r="P726" s="57">
        <f t="shared" si="114"/>
        <v>0</v>
      </c>
    </row>
    <row r="727" spans="2:16">
      <c r="B727" s="15" t="s">
        <v>21</v>
      </c>
      <c r="C727" s="50" t="s">
        <v>62</v>
      </c>
      <c r="D727" s="50" t="s">
        <v>204</v>
      </c>
      <c r="E727" s="50" t="s">
        <v>151</v>
      </c>
      <c r="F727" s="50" t="s">
        <v>22</v>
      </c>
      <c r="G727" s="204">
        <f>120+2-1.1+1.1</f>
        <v>122</v>
      </c>
      <c r="H727" s="204">
        <v>115.3</v>
      </c>
      <c r="I727" s="212">
        <f t="shared" si="107"/>
        <v>0.94508196721311477</v>
      </c>
      <c r="J727" s="42">
        <v>1</v>
      </c>
      <c r="K727" s="43">
        <f t="shared" si="109"/>
        <v>122</v>
      </c>
      <c r="L727" s="43">
        <f t="shared" si="110"/>
        <v>115.3</v>
      </c>
      <c r="M727" s="43">
        <f t="shared" si="111"/>
        <v>0.94508196721311477</v>
      </c>
      <c r="N727" s="57">
        <f t="shared" si="112"/>
        <v>0</v>
      </c>
      <c r="O727" s="57">
        <f t="shared" si="113"/>
        <v>0</v>
      </c>
      <c r="P727" s="57">
        <f t="shared" si="114"/>
        <v>0</v>
      </c>
    </row>
    <row r="728" spans="2:16">
      <c r="B728" s="14" t="s">
        <v>318</v>
      </c>
      <c r="C728" s="11" t="s">
        <v>62</v>
      </c>
      <c r="D728" s="11" t="s">
        <v>51</v>
      </c>
      <c r="E728" s="11"/>
      <c r="F728" s="11" t="s">
        <v>12</v>
      </c>
      <c r="G728" s="203">
        <f>G729+G735</f>
        <v>547.19999999999993</v>
      </c>
      <c r="H728" s="203">
        <v>545.1</v>
      </c>
      <c r="I728" s="207">
        <f t="shared" si="107"/>
        <v>0.9961622807017545</v>
      </c>
      <c r="J728" s="42"/>
      <c r="K728" s="43">
        <f t="shared" si="109"/>
        <v>0</v>
      </c>
      <c r="L728" s="43">
        <f t="shared" si="110"/>
        <v>0</v>
      </c>
      <c r="M728" s="43">
        <f t="shared" si="111"/>
        <v>0</v>
      </c>
      <c r="N728" s="57">
        <f t="shared" si="112"/>
        <v>0</v>
      </c>
      <c r="O728" s="57">
        <f t="shared" si="113"/>
        <v>0</v>
      </c>
      <c r="P728" s="57">
        <f t="shared" si="114"/>
        <v>0</v>
      </c>
    </row>
    <row r="729" spans="2:16">
      <c r="B729" s="15" t="s">
        <v>78</v>
      </c>
      <c r="C729" s="50" t="s">
        <v>62</v>
      </c>
      <c r="D729" s="50" t="s">
        <v>51</v>
      </c>
      <c r="E729" s="50" t="s">
        <v>139</v>
      </c>
      <c r="F729" s="50"/>
      <c r="G729" s="204">
        <f>G730</f>
        <v>436.19999999999993</v>
      </c>
      <c r="H729" s="204">
        <v>436</v>
      </c>
      <c r="I729" s="212">
        <f t="shared" si="107"/>
        <v>0.99954149472718956</v>
      </c>
      <c r="J729" s="42"/>
      <c r="K729" s="43">
        <f t="shared" si="109"/>
        <v>0</v>
      </c>
      <c r="L729" s="43">
        <f t="shared" si="110"/>
        <v>0</v>
      </c>
      <c r="M729" s="43">
        <f t="shared" si="111"/>
        <v>0</v>
      </c>
      <c r="N729" s="57">
        <f t="shared" si="112"/>
        <v>0</v>
      </c>
      <c r="O729" s="57">
        <f t="shared" si="113"/>
        <v>0</v>
      </c>
      <c r="P729" s="57">
        <f t="shared" si="114"/>
        <v>0</v>
      </c>
    </row>
    <row r="730" spans="2:16" ht="38.25">
      <c r="B730" s="15" t="s">
        <v>553</v>
      </c>
      <c r="C730" s="50" t="s">
        <v>62</v>
      </c>
      <c r="D730" s="50" t="s">
        <v>51</v>
      </c>
      <c r="E730" s="50" t="s">
        <v>551</v>
      </c>
      <c r="F730" s="50"/>
      <c r="G730" s="204">
        <f>SUM(G731:G734)</f>
        <v>436.19999999999993</v>
      </c>
      <c r="H730" s="204">
        <v>436</v>
      </c>
      <c r="I730" s="212">
        <f t="shared" si="107"/>
        <v>0.99954149472718956</v>
      </c>
      <c r="J730" s="42"/>
      <c r="K730" s="43">
        <f t="shared" si="109"/>
        <v>0</v>
      </c>
      <c r="L730" s="43">
        <f t="shared" si="110"/>
        <v>0</v>
      </c>
      <c r="M730" s="43">
        <f t="shared" si="111"/>
        <v>0</v>
      </c>
      <c r="N730" s="57">
        <f t="shared" si="112"/>
        <v>0</v>
      </c>
      <c r="O730" s="57">
        <f t="shared" si="113"/>
        <v>0</v>
      </c>
      <c r="P730" s="57">
        <f t="shared" si="114"/>
        <v>0</v>
      </c>
    </row>
    <row r="731" spans="2:16" ht="25.5">
      <c r="B731" s="15" t="s">
        <v>509</v>
      </c>
      <c r="C731" s="50" t="s">
        <v>62</v>
      </c>
      <c r="D731" s="50" t="s">
        <v>51</v>
      </c>
      <c r="E731" s="50" t="s">
        <v>551</v>
      </c>
      <c r="F731" s="50" t="s">
        <v>20</v>
      </c>
      <c r="G731" s="204">
        <f>267.7+75.6</f>
        <v>343.29999999999995</v>
      </c>
      <c r="H731" s="204">
        <v>343.3</v>
      </c>
      <c r="I731" s="212">
        <f t="shared" ref="I731:I794" si="115">H731/G731</f>
        <v>1.0000000000000002</v>
      </c>
      <c r="J731" s="42">
        <v>2</v>
      </c>
      <c r="K731" s="43">
        <f t="shared" si="109"/>
        <v>0</v>
      </c>
      <c r="L731" s="43">
        <f t="shared" si="110"/>
        <v>0</v>
      </c>
      <c r="M731" s="43">
        <f t="shared" si="111"/>
        <v>0</v>
      </c>
      <c r="N731" s="57">
        <f t="shared" si="112"/>
        <v>343.29999999999995</v>
      </c>
      <c r="O731" s="57">
        <f t="shared" si="113"/>
        <v>343.3</v>
      </c>
      <c r="P731" s="57">
        <f t="shared" si="114"/>
        <v>1.0000000000000002</v>
      </c>
    </row>
    <row r="732" spans="2:16" ht="25.5">
      <c r="B732" s="15" t="s">
        <v>504</v>
      </c>
      <c r="C732" s="50" t="s">
        <v>62</v>
      </c>
      <c r="D732" s="50" t="s">
        <v>51</v>
      </c>
      <c r="E732" s="50" t="s">
        <v>551</v>
      </c>
      <c r="F732" s="50" t="s">
        <v>20</v>
      </c>
      <c r="G732" s="204">
        <f>29.7+8.6</f>
        <v>38.299999999999997</v>
      </c>
      <c r="H732" s="204">
        <v>38.200000000000003</v>
      </c>
      <c r="I732" s="212">
        <f t="shared" si="115"/>
        <v>0.99738903394255884</v>
      </c>
      <c r="J732" s="42">
        <v>1</v>
      </c>
      <c r="K732" s="43">
        <f t="shared" si="109"/>
        <v>38.299999999999997</v>
      </c>
      <c r="L732" s="43">
        <f t="shared" si="110"/>
        <v>38.200000000000003</v>
      </c>
      <c r="M732" s="43">
        <f t="shared" si="111"/>
        <v>0.99738903394255884</v>
      </c>
      <c r="N732" s="57">
        <f t="shared" si="112"/>
        <v>0</v>
      </c>
      <c r="O732" s="57">
        <f t="shared" si="113"/>
        <v>0</v>
      </c>
      <c r="P732" s="57">
        <f t="shared" si="114"/>
        <v>0</v>
      </c>
    </row>
    <row r="733" spans="2:16" ht="25.5">
      <c r="B733" s="15" t="s">
        <v>559</v>
      </c>
      <c r="C733" s="50" t="s">
        <v>62</v>
      </c>
      <c r="D733" s="50" t="s">
        <v>51</v>
      </c>
      <c r="E733" s="50" t="s">
        <v>551</v>
      </c>
      <c r="F733" s="50" t="s">
        <v>31</v>
      </c>
      <c r="G733" s="204">
        <f>38.3+10.8</f>
        <v>49.099999999999994</v>
      </c>
      <c r="H733" s="204">
        <v>49.1</v>
      </c>
      <c r="I733" s="212">
        <f t="shared" si="115"/>
        <v>1.0000000000000002</v>
      </c>
      <c r="J733" s="42">
        <v>2</v>
      </c>
      <c r="K733" s="43">
        <f t="shared" si="109"/>
        <v>0</v>
      </c>
      <c r="L733" s="43">
        <f t="shared" si="110"/>
        <v>0</v>
      </c>
      <c r="M733" s="43">
        <f t="shared" si="111"/>
        <v>0</v>
      </c>
      <c r="N733" s="57">
        <f t="shared" si="112"/>
        <v>49.099999999999994</v>
      </c>
      <c r="O733" s="57">
        <f t="shared" si="113"/>
        <v>49.1</v>
      </c>
      <c r="P733" s="57">
        <f t="shared" si="114"/>
        <v>1.0000000000000002</v>
      </c>
    </row>
    <row r="734" spans="2:16" ht="25.5">
      <c r="B734" s="15" t="s">
        <v>554</v>
      </c>
      <c r="C734" s="50" t="s">
        <v>62</v>
      </c>
      <c r="D734" s="50" t="s">
        <v>51</v>
      </c>
      <c r="E734" s="50" t="s">
        <v>551</v>
      </c>
      <c r="F734" s="50" t="s">
        <v>31</v>
      </c>
      <c r="G734" s="204">
        <f>4.3+1.2</f>
        <v>5.5</v>
      </c>
      <c r="H734" s="204">
        <v>5.4</v>
      </c>
      <c r="I734" s="212">
        <f t="shared" si="115"/>
        <v>0.98181818181818192</v>
      </c>
      <c r="J734" s="42">
        <v>1</v>
      </c>
      <c r="K734" s="43">
        <f t="shared" si="109"/>
        <v>5.5</v>
      </c>
      <c r="L734" s="43">
        <f t="shared" si="110"/>
        <v>5.4</v>
      </c>
      <c r="M734" s="43">
        <f t="shared" si="111"/>
        <v>0.98181818181818192</v>
      </c>
      <c r="N734" s="57">
        <f t="shared" si="112"/>
        <v>0</v>
      </c>
      <c r="O734" s="57">
        <f t="shared" si="113"/>
        <v>0</v>
      </c>
      <c r="P734" s="57">
        <f t="shared" si="114"/>
        <v>0</v>
      </c>
    </row>
    <row r="735" spans="2:16" ht="25.5">
      <c r="B735" s="131" t="s">
        <v>770</v>
      </c>
      <c r="C735" s="50" t="s">
        <v>62</v>
      </c>
      <c r="D735" s="50" t="s">
        <v>51</v>
      </c>
      <c r="E735" s="50" t="s">
        <v>162</v>
      </c>
      <c r="F735" s="50"/>
      <c r="G735" s="204">
        <f>G736</f>
        <v>111</v>
      </c>
      <c r="H735" s="204">
        <v>109.1</v>
      </c>
      <c r="I735" s="212">
        <f t="shared" si="115"/>
        <v>0.98288288288288284</v>
      </c>
      <c r="J735" s="42"/>
      <c r="K735" s="43">
        <f t="shared" si="109"/>
        <v>0</v>
      </c>
      <c r="L735" s="43">
        <f t="shared" si="110"/>
        <v>0</v>
      </c>
      <c r="M735" s="43">
        <f t="shared" si="111"/>
        <v>0</v>
      </c>
      <c r="N735" s="57">
        <f t="shared" si="112"/>
        <v>0</v>
      </c>
      <c r="O735" s="57">
        <f t="shared" si="113"/>
        <v>0</v>
      </c>
      <c r="P735" s="57">
        <f t="shared" si="114"/>
        <v>0</v>
      </c>
    </row>
    <row r="736" spans="2:16">
      <c r="B736" s="15" t="s">
        <v>19</v>
      </c>
      <c r="C736" s="50" t="s">
        <v>62</v>
      </c>
      <c r="D736" s="50" t="s">
        <v>51</v>
      </c>
      <c r="E736" s="50" t="s">
        <v>202</v>
      </c>
      <c r="F736" s="50"/>
      <c r="G736" s="204">
        <f>G737+G738</f>
        <v>111</v>
      </c>
      <c r="H736" s="204">
        <v>109.1</v>
      </c>
      <c r="I736" s="212">
        <f t="shared" si="115"/>
        <v>0.98288288288288284</v>
      </c>
      <c r="J736" s="42"/>
      <c r="K736" s="43">
        <f t="shared" si="109"/>
        <v>0</v>
      </c>
      <c r="L736" s="43">
        <f t="shared" si="110"/>
        <v>0</v>
      </c>
      <c r="M736" s="43">
        <f t="shared" si="111"/>
        <v>0</v>
      </c>
      <c r="N736" s="57">
        <f t="shared" si="112"/>
        <v>0</v>
      </c>
      <c r="O736" s="57">
        <f t="shared" si="113"/>
        <v>0</v>
      </c>
      <c r="P736" s="57">
        <f t="shared" si="114"/>
        <v>0</v>
      </c>
    </row>
    <row r="737" spans="2:16" ht="25.5">
      <c r="B737" s="66" t="s">
        <v>251</v>
      </c>
      <c r="C737" s="50" t="s">
        <v>62</v>
      </c>
      <c r="D737" s="50" t="s">
        <v>51</v>
      </c>
      <c r="E737" s="50" t="s">
        <v>281</v>
      </c>
      <c r="F737" s="50" t="s">
        <v>20</v>
      </c>
      <c r="G737" s="204">
        <f>60-0.6</f>
        <v>59.4</v>
      </c>
      <c r="H737" s="204">
        <v>57.5</v>
      </c>
      <c r="I737" s="212">
        <f t="shared" si="115"/>
        <v>0.96801346801346799</v>
      </c>
      <c r="J737" s="42">
        <v>1</v>
      </c>
      <c r="K737" s="43">
        <f t="shared" si="109"/>
        <v>59.4</v>
      </c>
      <c r="L737" s="43">
        <f t="shared" si="110"/>
        <v>57.5</v>
      </c>
      <c r="M737" s="43">
        <f t="shared" si="111"/>
        <v>0.96801346801346799</v>
      </c>
      <c r="N737" s="57">
        <f t="shared" si="112"/>
        <v>0</v>
      </c>
      <c r="O737" s="57">
        <f t="shared" si="113"/>
        <v>0</v>
      </c>
      <c r="P737" s="57">
        <f t="shared" si="114"/>
        <v>0</v>
      </c>
    </row>
    <row r="738" spans="2:16" ht="25.5">
      <c r="B738" s="66" t="s">
        <v>252</v>
      </c>
      <c r="C738" s="50" t="s">
        <v>62</v>
      </c>
      <c r="D738" s="50" t="s">
        <v>51</v>
      </c>
      <c r="E738" s="50" t="s">
        <v>282</v>
      </c>
      <c r="F738" s="50" t="s">
        <v>20</v>
      </c>
      <c r="G738" s="204">
        <f>51+0.6</f>
        <v>51.6</v>
      </c>
      <c r="H738" s="204">
        <v>51.6</v>
      </c>
      <c r="I738" s="212">
        <f t="shared" si="115"/>
        <v>1</v>
      </c>
      <c r="J738" s="42">
        <v>1</v>
      </c>
      <c r="K738" s="43">
        <f t="shared" si="109"/>
        <v>51.6</v>
      </c>
      <c r="L738" s="43">
        <f t="shared" si="110"/>
        <v>51.6</v>
      </c>
      <c r="M738" s="43">
        <f t="shared" si="111"/>
        <v>1</v>
      </c>
      <c r="N738" s="57">
        <f t="shared" si="112"/>
        <v>0</v>
      </c>
      <c r="O738" s="57">
        <f t="shared" si="113"/>
        <v>0</v>
      </c>
      <c r="P738" s="57">
        <f t="shared" si="114"/>
        <v>0</v>
      </c>
    </row>
    <row r="739" spans="2:16">
      <c r="B739" s="14" t="s">
        <v>52</v>
      </c>
      <c r="C739" s="11" t="s">
        <v>62</v>
      </c>
      <c r="D739" s="11" t="s">
        <v>53</v>
      </c>
      <c r="E739" s="50"/>
      <c r="F739" s="50"/>
      <c r="G739" s="203">
        <f>G740+G746</f>
        <v>14921.7</v>
      </c>
      <c r="H739" s="203">
        <v>14392.4</v>
      </c>
      <c r="I739" s="207">
        <f t="shared" si="115"/>
        <v>0.96452817038273109</v>
      </c>
      <c r="J739" s="42"/>
      <c r="K739" s="43">
        <f t="shared" si="109"/>
        <v>0</v>
      </c>
      <c r="L739" s="43">
        <f t="shared" si="110"/>
        <v>0</v>
      </c>
      <c r="M739" s="43">
        <f t="shared" si="111"/>
        <v>0</v>
      </c>
      <c r="N739" s="57">
        <f t="shared" si="112"/>
        <v>0</v>
      </c>
      <c r="O739" s="57">
        <f t="shared" si="113"/>
        <v>0</v>
      </c>
      <c r="P739" s="57">
        <f t="shared" si="114"/>
        <v>0</v>
      </c>
    </row>
    <row r="740" spans="2:16" ht="25.5">
      <c r="B740" s="15" t="s">
        <v>104</v>
      </c>
      <c r="C740" s="50" t="s">
        <v>62</v>
      </c>
      <c r="D740" s="50" t="s">
        <v>53</v>
      </c>
      <c r="E740" s="50" t="s">
        <v>137</v>
      </c>
      <c r="F740" s="50" t="s">
        <v>12</v>
      </c>
      <c r="G740" s="204">
        <f>G741+G744</f>
        <v>2680.5</v>
      </c>
      <c r="H740" s="204">
        <v>2545.1</v>
      </c>
      <c r="I740" s="212">
        <f t="shared" si="115"/>
        <v>0.94948703600074613</v>
      </c>
      <c r="J740" s="42"/>
      <c r="K740" s="43">
        <f t="shared" si="109"/>
        <v>0</v>
      </c>
      <c r="L740" s="43">
        <f t="shared" si="110"/>
        <v>0</v>
      </c>
      <c r="M740" s="43">
        <f t="shared" si="111"/>
        <v>0</v>
      </c>
      <c r="N740" s="57">
        <f t="shared" si="112"/>
        <v>0</v>
      </c>
      <c r="O740" s="57">
        <f t="shared" si="113"/>
        <v>0</v>
      </c>
      <c r="P740" s="57">
        <f t="shared" si="114"/>
        <v>0</v>
      </c>
    </row>
    <row r="741" spans="2:16">
      <c r="B741" s="15" t="s">
        <v>95</v>
      </c>
      <c r="C741" s="50" t="s">
        <v>62</v>
      </c>
      <c r="D741" s="50" t="s">
        <v>53</v>
      </c>
      <c r="E741" s="50" t="s">
        <v>138</v>
      </c>
      <c r="F741" s="50"/>
      <c r="G741" s="204">
        <f>G742+G743</f>
        <v>2665.9</v>
      </c>
      <c r="H741" s="204">
        <v>2530.5</v>
      </c>
      <c r="I741" s="212">
        <f t="shared" si="115"/>
        <v>0.94921039798942197</v>
      </c>
      <c r="J741" s="43"/>
      <c r="K741" s="43">
        <f t="shared" si="109"/>
        <v>0</v>
      </c>
      <c r="L741" s="43">
        <f t="shared" si="110"/>
        <v>0</v>
      </c>
      <c r="M741" s="43">
        <f t="shared" si="111"/>
        <v>0</v>
      </c>
      <c r="N741" s="57">
        <f t="shared" si="112"/>
        <v>0</v>
      </c>
      <c r="O741" s="57">
        <f t="shared" si="113"/>
        <v>0</v>
      </c>
      <c r="P741" s="57">
        <f t="shared" si="114"/>
        <v>0</v>
      </c>
    </row>
    <row r="742" spans="2:16" ht="39.75" customHeight="1">
      <c r="B742" s="15" t="s">
        <v>17</v>
      </c>
      <c r="C742" s="50" t="s">
        <v>62</v>
      </c>
      <c r="D742" s="50" t="s">
        <v>53</v>
      </c>
      <c r="E742" s="50" t="s">
        <v>138</v>
      </c>
      <c r="F742" s="50" t="s">
        <v>18</v>
      </c>
      <c r="G742" s="204">
        <f>2514.4-100-30</f>
        <v>2384.4</v>
      </c>
      <c r="H742" s="204">
        <v>2345.3000000000002</v>
      </c>
      <c r="I742" s="212">
        <f t="shared" si="115"/>
        <v>0.98360174467371253</v>
      </c>
      <c r="J742" s="42">
        <v>1</v>
      </c>
      <c r="K742" s="43">
        <f t="shared" si="109"/>
        <v>2384.4</v>
      </c>
      <c r="L742" s="43">
        <f t="shared" si="110"/>
        <v>2345.3000000000002</v>
      </c>
      <c r="M742" s="43">
        <f t="shared" si="111"/>
        <v>0.98360174467371253</v>
      </c>
      <c r="N742" s="57">
        <f t="shared" si="112"/>
        <v>0</v>
      </c>
      <c r="O742" s="57">
        <f t="shared" si="113"/>
        <v>0</v>
      </c>
      <c r="P742" s="57">
        <f t="shared" si="114"/>
        <v>0</v>
      </c>
    </row>
    <row r="743" spans="2:16">
      <c r="B743" s="15" t="s">
        <v>19</v>
      </c>
      <c r="C743" s="50" t="s">
        <v>62</v>
      </c>
      <c r="D743" s="50" t="s">
        <v>53</v>
      </c>
      <c r="E743" s="50" t="s">
        <v>138</v>
      </c>
      <c r="F743" s="50" t="s">
        <v>20</v>
      </c>
      <c r="G743" s="204">
        <f>229.2+52.3</f>
        <v>281.5</v>
      </c>
      <c r="H743" s="204">
        <v>185.2</v>
      </c>
      <c r="I743" s="212">
        <f t="shared" si="115"/>
        <v>0.65790408525754884</v>
      </c>
      <c r="J743" s="42">
        <v>1</v>
      </c>
      <c r="K743" s="43">
        <f t="shared" si="109"/>
        <v>281.5</v>
      </c>
      <c r="L743" s="43">
        <f t="shared" si="110"/>
        <v>185.2</v>
      </c>
      <c r="M743" s="43">
        <f t="shared" si="111"/>
        <v>0.65790408525754884</v>
      </c>
      <c r="N743" s="57">
        <f t="shared" si="112"/>
        <v>0</v>
      </c>
      <c r="O743" s="57">
        <f t="shared" si="113"/>
        <v>0</v>
      </c>
      <c r="P743" s="57">
        <f t="shared" si="114"/>
        <v>0</v>
      </c>
    </row>
    <row r="744" spans="2:16" ht="38.25">
      <c r="B744" s="15" t="s">
        <v>927</v>
      </c>
      <c r="C744" s="50" t="s">
        <v>62</v>
      </c>
      <c r="D744" s="50" t="s">
        <v>53</v>
      </c>
      <c r="E744" s="157" t="s">
        <v>928</v>
      </c>
      <c r="F744" s="50"/>
      <c r="G744" s="204">
        <f>G745</f>
        <v>14.6</v>
      </c>
      <c r="H744" s="204">
        <v>14.6</v>
      </c>
      <c r="I744" s="212">
        <f t="shared" si="115"/>
        <v>1</v>
      </c>
      <c r="J744" s="42"/>
      <c r="K744" s="43"/>
      <c r="L744" s="43"/>
      <c r="M744" s="43"/>
      <c r="N744" s="57"/>
      <c r="O744" s="57"/>
      <c r="P744" s="57"/>
    </row>
    <row r="745" spans="2:16" ht="38.25">
      <c r="B745" s="15" t="s">
        <v>17</v>
      </c>
      <c r="C745" s="50" t="s">
        <v>62</v>
      </c>
      <c r="D745" s="50" t="s">
        <v>53</v>
      </c>
      <c r="E745" s="157" t="s">
        <v>928</v>
      </c>
      <c r="F745" s="50" t="s">
        <v>18</v>
      </c>
      <c r="G745" s="204">
        <v>14.6</v>
      </c>
      <c r="H745" s="204">
        <v>14.6</v>
      </c>
      <c r="I745" s="212">
        <f t="shared" si="115"/>
        <v>1</v>
      </c>
      <c r="J745" s="42"/>
      <c r="K745" s="43"/>
      <c r="L745" s="43"/>
      <c r="M745" s="43"/>
      <c r="N745" s="57"/>
      <c r="O745" s="57"/>
      <c r="P745" s="57"/>
    </row>
    <row r="746" spans="2:16">
      <c r="B746" s="15" t="s">
        <v>77</v>
      </c>
      <c r="C746" s="50" t="s">
        <v>62</v>
      </c>
      <c r="D746" s="50" t="s">
        <v>53</v>
      </c>
      <c r="E746" s="50" t="s">
        <v>139</v>
      </c>
      <c r="F746" s="50"/>
      <c r="G746" s="204">
        <f>G747+G753+G750</f>
        <v>12241.2</v>
      </c>
      <c r="H746" s="204">
        <v>11847.2</v>
      </c>
      <c r="I746" s="212">
        <f t="shared" si="115"/>
        <v>0.96781361304447278</v>
      </c>
      <c r="J746" s="42"/>
      <c r="K746" s="43">
        <f t="shared" si="109"/>
        <v>0</v>
      </c>
      <c r="L746" s="43">
        <f t="shared" si="110"/>
        <v>0</v>
      </c>
      <c r="M746" s="43">
        <f t="shared" si="111"/>
        <v>0</v>
      </c>
      <c r="N746" s="57">
        <f t="shared" si="112"/>
        <v>0</v>
      </c>
      <c r="O746" s="57">
        <f t="shared" si="113"/>
        <v>0</v>
      </c>
      <c r="P746" s="57">
        <f t="shared" si="114"/>
        <v>0</v>
      </c>
    </row>
    <row r="747" spans="2:16">
      <c r="B747" s="15" t="s">
        <v>105</v>
      </c>
      <c r="C747" s="50" t="s">
        <v>62</v>
      </c>
      <c r="D747" s="50" t="s">
        <v>53</v>
      </c>
      <c r="E747" s="50" t="s">
        <v>148</v>
      </c>
      <c r="F747" s="50"/>
      <c r="G747" s="204">
        <f>G748+G749</f>
        <v>12111.1</v>
      </c>
      <c r="H747" s="204">
        <v>11720.7</v>
      </c>
      <c r="I747" s="212">
        <f t="shared" si="115"/>
        <v>0.9677651080413836</v>
      </c>
      <c r="J747" s="42"/>
      <c r="K747" s="43">
        <f t="shared" si="109"/>
        <v>0</v>
      </c>
      <c r="L747" s="43">
        <f t="shared" si="110"/>
        <v>0</v>
      </c>
      <c r="M747" s="43">
        <f t="shared" si="111"/>
        <v>0</v>
      </c>
      <c r="N747" s="57">
        <f t="shared" si="112"/>
        <v>0</v>
      </c>
      <c r="O747" s="57">
        <f t="shared" si="113"/>
        <v>0</v>
      </c>
      <c r="P747" s="57">
        <f t="shared" si="114"/>
        <v>0</v>
      </c>
    </row>
    <row r="748" spans="2:16" ht="39.75" customHeight="1">
      <c r="B748" s="15" t="s">
        <v>17</v>
      </c>
      <c r="C748" s="50" t="s">
        <v>62</v>
      </c>
      <c r="D748" s="50" t="s">
        <v>53</v>
      </c>
      <c r="E748" s="50" t="s">
        <v>148</v>
      </c>
      <c r="F748" s="50" t="s">
        <v>18</v>
      </c>
      <c r="G748" s="204">
        <f>9951.1+768+232+160+30</f>
        <v>11141.1</v>
      </c>
      <c r="H748" s="204">
        <v>10940.5</v>
      </c>
      <c r="I748" s="212">
        <f t="shared" si="115"/>
        <v>0.98199459658382027</v>
      </c>
      <c r="J748" s="42">
        <v>1</v>
      </c>
      <c r="K748" s="43">
        <f t="shared" si="109"/>
        <v>11141.1</v>
      </c>
      <c r="L748" s="43">
        <f t="shared" si="110"/>
        <v>10940.5</v>
      </c>
      <c r="M748" s="43">
        <f t="shared" si="111"/>
        <v>0.98199459658382027</v>
      </c>
      <c r="N748" s="57">
        <f t="shared" si="112"/>
        <v>0</v>
      </c>
      <c r="O748" s="57">
        <f t="shared" si="113"/>
        <v>0</v>
      </c>
      <c r="P748" s="57">
        <f t="shared" si="114"/>
        <v>0</v>
      </c>
    </row>
    <row r="749" spans="2:16">
      <c r="B749" s="15" t="s">
        <v>19</v>
      </c>
      <c r="C749" s="50" t="s">
        <v>62</v>
      </c>
      <c r="D749" s="50" t="s">
        <v>53</v>
      </c>
      <c r="E749" s="50" t="s">
        <v>148</v>
      </c>
      <c r="F749" s="50" t="s">
        <v>20</v>
      </c>
      <c r="G749" s="204">
        <f>895+75</f>
        <v>970</v>
      </c>
      <c r="H749" s="204">
        <v>780.2</v>
      </c>
      <c r="I749" s="212">
        <f t="shared" si="115"/>
        <v>0.80432989690721657</v>
      </c>
      <c r="J749" s="42">
        <v>1</v>
      </c>
      <c r="K749" s="43">
        <f t="shared" si="109"/>
        <v>970</v>
      </c>
      <c r="L749" s="43">
        <f t="shared" si="110"/>
        <v>780.2</v>
      </c>
      <c r="M749" s="43">
        <f t="shared" si="111"/>
        <v>0.80432989690721657</v>
      </c>
      <c r="N749" s="57">
        <f t="shared" si="112"/>
        <v>0</v>
      </c>
      <c r="O749" s="57">
        <f t="shared" si="113"/>
        <v>0</v>
      </c>
      <c r="P749" s="57">
        <f t="shared" si="114"/>
        <v>0</v>
      </c>
    </row>
    <row r="750" spans="2:16">
      <c r="B750" s="15" t="s">
        <v>656</v>
      </c>
      <c r="C750" s="50" t="s">
        <v>62</v>
      </c>
      <c r="D750" s="50" t="s">
        <v>53</v>
      </c>
      <c r="E750" s="50" t="s">
        <v>144</v>
      </c>
      <c r="F750" s="50"/>
      <c r="G750" s="204">
        <f>G751+G752</f>
        <v>126.1</v>
      </c>
      <c r="H750" s="204">
        <v>126.1</v>
      </c>
      <c r="I750" s="212">
        <f t="shared" si="115"/>
        <v>1</v>
      </c>
      <c r="J750" s="42"/>
      <c r="K750" s="43">
        <f t="shared" si="109"/>
        <v>0</v>
      </c>
      <c r="L750" s="43">
        <f t="shared" si="110"/>
        <v>0</v>
      </c>
      <c r="M750" s="43">
        <f t="shared" si="111"/>
        <v>0</v>
      </c>
      <c r="N750" s="57">
        <f t="shared" si="112"/>
        <v>0</v>
      </c>
      <c r="O750" s="57">
        <f t="shared" si="113"/>
        <v>0</v>
      </c>
      <c r="P750" s="57">
        <f t="shared" si="114"/>
        <v>0</v>
      </c>
    </row>
    <row r="751" spans="2:16" ht="38.25">
      <c r="B751" s="15" t="s">
        <v>17</v>
      </c>
      <c r="C751" s="50" t="s">
        <v>62</v>
      </c>
      <c r="D751" s="50" t="s">
        <v>53</v>
      </c>
      <c r="E751" s="50" t="s">
        <v>144</v>
      </c>
      <c r="F751" s="50" t="s">
        <v>18</v>
      </c>
      <c r="G751" s="204">
        <v>112.5</v>
      </c>
      <c r="H751" s="204">
        <v>112.5</v>
      </c>
      <c r="I751" s="212">
        <f t="shared" si="115"/>
        <v>1</v>
      </c>
      <c r="J751" s="42">
        <v>2</v>
      </c>
      <c r="K751" s="43">
        <f t="shared" si="109"/>
        <v>0</v>
      </c>
      <c r="L751" s="43">
        <f t="shared" si="110"/>
        <v>0</v>
      </c>
      <c r="M751" s="43">
        <f t="shared" si="111"/>
        <v>0</v>
      </c>
      <c r="N751" s="57">
        <f t="shared" si="112"/>
        <v>112.5</v>
      </c>
      <c r="O751" s="57">
        <f t="shared" si="113"/>
        <v>112.5</v>
      </c>
      <c r="P751" s="57">
        <f t="shared" si="114"/>
        <v>1</v>
      </c>
    </row>
    <row r="752" spans="2:16">
      <c r="B752" s="15" t="s">
        <v>19</v>
      </c>
      <c r="C752" s="50" t="s">
        <v>62</v>
      </c>
      <c r="D752" s="50" t="s">
        <v>53</v>
      </c>
      <c r="E752" s="50" t="s">
        <v>144</v>
      </c>
      <c r="F752" s="50" t="s">
        <v>20</v>
      </c>
      <c r="G752" s="204">
        <v>13.6</v>
      </c>
      <c r="H752" s="204">
        <v>13.6</v>
      </c>
      <c r="I752" s="212">
        <f t="shared" si="115"/>
        <v>1</v>
      </c>
      <c r="J752" s="42">
        <v>2</v>
      </c>
      <c r="K752" s="43">
        <f t="shared" si="109"/>
        <v>0</v>
      </c>
      <c r="L752" s="43">
        <f t="shared" si="110"/>
        <v>0</v>
      </c>
      <c r="M752" s="43">
        <f t="shared" si="111"/>
        <v>0</v>
      </c>
      <c r="N752" s="57">
        <f t="shared" si="112"/>
        <v>13.6</v>
      </c>
      <c r="O752" s="57">
        <f t="shared" si="113"/>
        <v>13.6</v>
      </c>
      <c r="P752" s="57">
        <f t="shared" si="114"/>
        <v>1</v>
      </c>
    </row>
    <row r="753" spans="2:16">
      <c r="B753" s="15" t="s">
        <v>100</v>
      </c>
      <c r="C753" s="50" t="s">
        <v>62</v>
      </c>
      <c r="D753" s="50" t="s">
        <v>53</v>
      </c>
      <c r="E753" s="50" t="s">
        <v>151</v>
      </c>
      <c r="F753" s="50"/>
      <c r="G753" s="204">
        <f>G754</f>
        <v>3.9999999999999996</v>
      </c>
      <c r="H753" s="204">
        <v>0.5</v>
      </c>
      <c r="I753" s="212">
        <f t="shared" si="115"/>
        <v>0.125</v>
      </c>
      <c r="J753" s="42"/>
      <c r="K753" s="43">
        <f t="shared" si="109"/>
        <v>0</v>
      </c>
      <c r="L753" s="43">
        <f t="shared" si="110"/>
        <v>0</v>
      </c>
      <c r="M753" s="43">
        <f t="shared" si="111"/>
        <v>0</v>
      </c>
      <c r="N753" s="57">
        <f t="shared" si="112"/>
        <v>0</v>
      </c>
      <c r="O753" s="57">
        <f t="shared" si="113"/>
        <v>0</v>
      </c>
      <c r="P753" s="57">
        <f t="shared" si="114"/>
        <v>0</v>
      </c>
    </row>
    <row r="754" spans="2:16">
      <c r="B754" s="15" t="s">
        <v>21</v>
      </c>
      <c r="C754" s="50" t="s">
        <v>62</v>
      </c>
      <c r="D754" s="50" t="s">
        <v>53</v>
      </c>
      <c r="E754" s="50" t="s">
        <v>151</v>
      </c>
      <c r="F754" s="50" t="s">
        <v>22</v>
      </c>
      <c r="G754" s="204">
        <f>4+1.1-1.1</f>
        <v>3.9999999999999996</v>
      </c>
      <c r="H754" s="204">
        <v>0.5</v>
      </c>
      <c r="I754" s="212">
        <f t="shared" si="115"/>
        <v>0.125</v>
      </c>
      <c r="J754" s="42">
        <v>1</v>
      </c>
      <c r="K754" s="43">
        <f t="shared" si="109"/>
        <v>3.9999999999999996</v>
      </c>
      <c r="L754" s="43">
        <f t="shared" si="110"/>
        <v>0.5</v>
      </c>
      <c r="M754" s="43">
        <f t="shared" si="111"/>
        <v>0.125</v>
      </c>
      <c r="N754" s="57">
        <f t="shared" si="112"/>
        <v>0</v>
      </c>
      <c r="O754" s="57">
        <f t="shared" si="113"/>
        <v>0</v>
      </c>
      <c r="P754" s="57">
        <f t="shared" si="114"/>
        <v>0</v>
      </c>
    </row>
    <row r="755" spans="2:16">
      <c r="B755" s="14" t="s">
        <v>32</v>
      </c>
      <c r="C755" s="11" t="s">
        <v>62</v>
      </c>
      <c r="D755" s="11" t="s">
        <v>33</v>
      </c>
      <c r="E755" s="11" t="s">
        <v>12</v>
      </c>
      <c r="F755" s="11" t="s">
        <v>12</v>
      </c>
      <c r="G755" s="203">
        <f>G756+G762</f>
        <v>13290.5</v>
      </c>
      <c r="H755" s="203">
        <v>12922.9</v>
      </c>
      <c r="I755" s="207">
        <f t="shared" si="115"/>
        <v>0.97234114593130427</v>
      </c>
      <c r="J755" s="42"/>
      <c r="K755" s="43">
        <f t="shared" si="109"/>
        <v>0</v>
      </c>
      <c r="L755" s="43">
        <f t="shared" si="110"/>
        <v>0</v>
      </c>
      <c r="M755" s="43">
        <f t="shared" si="111"/>
        <v>0</v>
      </c>
      <c r="N755" s="57">
        <f t="shared" si="112"/>
        <v>0</v>
      </c>
      <c r="O755" s="57">
        <f t="shared" si="113"/>
        <v>0</v>
      </c>
      <c r="P755" s="57">
        <f t="shared" si="114"/>
        <v>0</v>
      </c>
    </row>
    <row r="756" spans="2:16">
      <c r="B756" s="14" t="s">
        <v>34</v>
      </c>
      <c r="C756" s="11" t="s">
        <v>62</v>
      </c>
      <c r="D756" s="11" t="s">
        <v>35</v>
      </c>
      <c r="E756" s="11" t="s">
        <v>12</v>
      </c>
      <c r="F756" s="11" t="s">
        <v>12</v>
      </c>
      <c r="G756" s="203">
        <f>G757</f>
        <v>3750.2000000000007</v>
      </c>
      <c r="H756" s="203">
        <v>3730.6</v>
      </c>
      <c r="I756" s="207">
        <f t="shared" si="115"/>
        <v>0.99477361207402248</v>
      </c>
      <c r="J756" s="42"/>
      <c r="K756" s="43">
        <f t="shared" si="109"/>
        <v>0</v>
      </c>
      <c r="L756" s="43">
        <f t="shared" si="110"/>
        <v>0</v>
      </c>
      <c r="M756" s="43">
        <f t="shared" si="111"/>
        <v>0</v>
      </c>
      <c r="N756" s="57">
        <f t="shared" si="112"/>
        <v>0</v>
      </c>
      <c r="O756" s="57">
        <f t="shared" si="113"/>
        <v>0</v>
      </c>
      <c r="P756" s="57">
        <f t="shared" si="114"/>
        <v>0</v>
      </c>
    </row>
    <row r="757" spans="2:16">
      <c r="B757" s="15" t="s">
        <v>76</v>
      </c>
      <c r="C757" s="50" t="s">
        <v>62</v>
      </c>
      <c r="D757" s="50" t="s">
        <v>35</v>
      </c>
      <c r="E757" s="50" t="s">
        <v>139</v>
      </c>
      <c r="F757" s="50"/>
      <c r="G757" s="204">
        <f>G758+G760</f>
        <v>3750.2000000000007</v>
      </c>
      <c r="H757" s="204">
        <v>3730.6</v>
      </c>
      <c r="I757" s="212">
        <f t="shared" si="115"/>
        <v>0.99477361207402248</v>
      </c>
      <c r="J757" s="42"/>
      <c r="K757" s="43">
        <f t="shared" si="109"/>
        <v>0</v>
      </c>
      <c r="L757" s="43">
        <f t="shared" si="110"/>
        <v>0</v>
      </c>
      <c r="M757" s="43">
        <f t="shared" si="111"/>
        <v>0</v>
      </c>
      <c r="N757" s="57">
        <f t="shared" si="112"/>
        <v>0</v>
      </c>
      <c r="O757" s="57">
        <f t="shared" si="113"/>
        <v>0</v>
      </c>
      <c r="P757" s="57">
        <f t="shared" si="114"/>
        <v>0</v>
      </c>
    </row>
    <row r="758" spans="2:16" ht="39" customHeight="1">
      <c r="B758" s="15" t="s">
        <v>122</v>
      </c>
      <c r="C758" s="50" t="s">
        <v>62</v>
      </c>
      <c r="D758" s="50" t="s">
        <v>35</v>
      </c>
      <c r="E758" s="50" t="s">
        <v>177</v>
      </c>
      <c r="F758" s="50"/>
      <c r="G758" s="204">
        <f>G759</f>
        <v>3646.4000000000005</v>
      </c>
      <c r="H758" s="204">
        <v>3646.4</v>
      </c>
      <c r="I758" s="212">
        <f t="shared" si="115"/>
        <v>0.99999999999999989</v>
      </c>
      <c r="J758" s="42"/>
      <c r="K758" s="43">
        <f t="shared" si="109"/>
        <v>0</v>
      </c>
      <c r="L758" s="43">
        <f t="shared" si="110"/>
        <v>0</v>
      </c>
      <c r="M758" s="43">
        <f t="shared" si="111"/>
        <v>0</v>
      </c>
      <c r="N758" s="57">
        <f t="shared" si="112"/>
        <v>0</v>
      </c>
      <c r="O758" s="57">
        <f t="shared" si="113"/>
        <v>0</v>
      </c>
      <c r="P758" s="57">
        <f t="shared" si="114"/>
        <v>0</v>
      </c>
    </row>
    <row r="759" spans="2:16">
      <c r="B759" s="15" t="s">
        <v>25</v>
      </c>
      <c r="C759" s="50" t="s">
        <v>62</v>
      </c>
      <c r="D759" s="50" t="s">
        <v>35</v>
      </c>
      <c r="E759" s="50" t="s">
        <v>177</v>
      </c>
      <c r="F759" s="50" t="s">
        <v>26</v>
      </c>
      <c r="G759" s="204">
        <f>4248-116.4-485.2</f>
        <v>3646.4000000000005</v>
      </c>
      <c r="H759" s="204">
        <v>3646.4</v>
      </c>
      <c r="I759" s="212">
        <f t="shared" si="115"/>
        <v>0.99999999999999989</v>
      </c>
      <c r="J759" s="42">
        <v>2</v>
      </c>
      <c r="K759" s="43">
        <f t="shared" si="109"/>
        <v>0</v>
      </c>
      <c r="L759" s="43">
        <f t="shared" si="110"/>
        <v>0</v>
      </c>
      <c r="M759" s="43">
        <f t="shared" si="111"/>
        <v>0</v>
      </c>
      <c r="N759" s="57">
        <f t="shared" si="112"/>
        <v>3646.4000000000005</v>
      </c>
      <c r="O759" s="57">
        <f t="shared" si="113"/>
        <v>3646.4</v>
      </c>
      <c r="P759" s="57">
        <f t="shared" si="114"/>
        <v>0.99999999999999989</v>
      </c>
    </row>
    <row r="760" spans="2:16" ht="51">
      <c r="B760" s="15" t="s">
        <v>123</v>
      </c>
      <c r="C760" s="50" t="s">
        <v>62</v>
      </c>
      <c r="D760" s="50" t="s">
        <v>35</v>
      </c>
      <c r="E760" s="50" t="s">
        <v>178</v>
      </c>
      <c r="F760" s="50"/>
      <c r="G760" s="204">
        <f>G761</f>
        <v>103.80000000000001</v>
      </c>
      <c r="H760" s="204">
        <v>83.8</v>
      </c>
      <c r="I760" s="212">
        <f t="shared" si="115"/>
        <v>0.80732177263969163</v>
      </c>
      <c r="J760" s="42"/>
      <c r="K760" s="43">
        <f t="shared" si="109"/>
        <v>0</v>
      </c>
      <c r="L760" s="43">
        <f t="shared" si="110"/>
        <v>0</v>
      </c>
      <c r="M760" s="43">
        <f t="shared" si="111"/>
        <v>0</v>
      </c>
      <c r="N760" s="57">
        <f t="shared" si="112"/>
        <v>0</v>
      </c>
      <c r="O760" s="57">
        <f t="shared" si="113"/>
        <v>0</v>
      </c>
      <c r="P760" s="57">
        <f t="shared" si="114"/>
        <v>0</v>
      </c>
    </row>
    <row r="761" spans="2:16">
      <c r="B761" s="15" t="s">
        <v>25</v>
      </c>
      <c r="C761" s="50" t="s">
        <v>62</v>
      </c>
      <c r="D761" s="50" t="s">
        <v>35</v>
      </c>
      <c r="E761" s="50" t="s">
        <v>178</v>
      </c>
      <c r="F761" s="50" t="s">
        <v>26</v>
      </c>
      <c r="G761" s="204">
        <f>42.3+1.1+23.4+65-28</f>
        <v>103.80000000000001</v>
      </c>
      <c r="H761" s="204">
        <v>83.8</v>
      </c>
      <c r="I761" s="212">
        <f t="shared" si="115"/>
        <v>0.80732177263969163</v>
      </c>
      <c r="J761" s="42">
        <v>2</v>
      </c>
      <c r="K761" s="43">
        <f t="shared" si="109"/>
        <v>0</v>
      </c>
      <c r="L761" s="43">
        <f t="shared" si="110"/>
        <v>0</v>
      </c>
      <c r="M761" s="43">
        <f t="shared" si="111"/>
        <v>0</v>
      </c>
      <c r="N761" s="57">
        <f t="shared" si="112"/>
        <v>103.80000000000001</v>
      </c>
      <c r="O761" s="57">
        <f t="shared" si="113"/>
        <v>83.8</v>
      </c>
      <c r="P761" s="57">
        <f t="shared" si="114"/>
        <v>0.80732177263969163</v>
      </c>
    </row>
    <row r="762" spans="2:16">
      <c r="B762" s="14" t="s">
        <v>48</v>
      </c>
      <c r="C762" s="11" t="s">
        <v>62</v>
      </c>
      <c r="D762" s="11" t="s">
        <v>49</v>
      </c>
      <c r="E762" s="11" t="s">
        <v>12</v>
      </c>
      <c r="F762" s="11" t="s">
        <v>12</v>
      </c>
      <c r="G762" s="203">
        <f>G763</f>
        <v>9540.2999999999993</v>
      </c>
      <c r="H762" s="203">
        <v>9192.2999999999993</v>
      </c>
      <c r="I762" s="207">
        <f t="shared" si="115"/>
        <v>0.96352315964906765</v>
      </c>
      <c r="J762" s="42"/>
      <c r="K762" s="43">
        <f t="shared" si="109"/>
        <v>0</v>
      </c>
      <c r="L762" s="43">
        <f t="shared" si="110"/>
        <v>0</v>
      </c>
      <c r="M762" s="43">
        <f t="shared" si="111"/>
        <v>0</v>
      </c>
      <c r="N762" s="57">
        <f t="shared" si="112"/>
        <v>0</v>
      </c>
      <c r="O762" s="57">
        <f t="shared" si="113"/>
        <v>0</v>
      </c>
      <c r="P762" s="57">
        <f t="shared" si="114"/>
        <v>0</v>
      </c>
    </row>
    <row r="763" spans="2:16" s="6" customFormat="1">
      <c r="B763" s="15" t="s">
        <v>73</v>
      </c>
      <c r="C763" s="50" t="s">
        <v>62</v>
      </c>
      <c r="D763" s="50" t="s">
        <v>49</v>
      </c>
      <c r="E763" s="50" t="s">
        <v>139</v>
      </c>
      <c r="F763" s="50" t="s">
        <v>12</v>
      </c>
      <c r="G763" s="204">
        <f>G764+G767+G769</f>
        <v>9540.2999999999993</v>
      </c>
      <c r="H763" s="204">
        <v>9192.2999999999993</v>
      </c>
      <c r="I763" s="212">
        <f t="shared" si="115"/>
        <v>0.96352315964906765</v>
      </c>
      <c r="J763" s="13"/>
      <c r="K763" s="43">
        <f t="shared" ref="K763:K769" si="116">SUMIF(J763,1,G763)</f>
        <v>0</v>
      </c>
      <c r="L763" s="43">
        <f t="shared" ref="L763:L769" si="117">SUMIF(J763,1,H763)</f>
        <v>0</v>
      </c>
      <c r="M763" s="43">
        <f t="shared" ref="M763:M769" si="118">SUMIF(J763,1,I763)</f>
        <v>0</v>
      </c>
      <c r="N763" s="57">
        <f t="shared" ref="N763:N769" si="119">SUMIF(J763,2,G763)</f>
        <v>0</v>
      </c>
      <c r="O763" s="57">
        <f t="shared" ref="O763:O769" si="120">SUMIF(J763,2,H763)</f>
        <v>0</v>
      </c>
      <c r="P763" s="57">
        <f t="shared" ref="P763:P769" si="121">SUMIF(J763,2,I763)</f>
        <v>0</v>
      </c>
    </row>
    <row r="764" spans="2:16" s="6" customFormat="1" ht="39.75" customHeight="1">
      <c r="B764" s="15" t="s">
        <v>124</v>
      </c>
      <c r="C764" s="50" t="s">
        <v>62</v>
      </c>
      <c r="D764" s="50" t="s">
        <v>49</v>
      </c>
      <c r="E764" s="50" t="s">
        <v>179</v>
      </c>
      <c r="F764" s="50"/>
      <c r="G764" s="204">
        <f>G765+G766</f>
        <v>770</v>
      </c>
      <c r="H764" s="204">
        <v>770</v>
      </c>
      <c r="I764" s="212">
        <f t="shared" si="115"/>
        <v>1</v>
      </c>
      <c r="J764" s="13"/>
      <c r="K764" s="43">
        <f t="shared" si="116"/>
        <v>0</v>
      </c>
      <c r="L764" s="43">
        <f t="shared" si="117"/>
        <v>0</v>
      </c>
      <c r="M764" s="43">
        <f t="shared" si="118"/>
        <v>0</v>
      </c>
      <c r="N764" s="57">
        <f t="shared" si="119"/>
        <v>0</v>
      </c>
      <c r="O764" s="57">
        <f t="shared" si="120"/>
        <v>0</v>
      </c>
      <c r="P764" s="57">
        <f t="shared" si="121"/>
        <v>0</v>
      </c>
    </row>
    <row r="765" spans="2:16" s="6" customFormat="1">
      <c r="B765" s="15" t="s">
        <v>19</v>
      </c>
      <c r="C765" s="50" t="s">
        <v>62</v>
      </c>
      <c r="D765" s="50" t="s">
        <v>49</v>
      </c>
      <c r="E765" s="50" t="s">
        <v>179</v>
      </c>
      <c r="F765" s="50" t="s">
        <v>20</v>
      </c>
      <c r="G765" s="204">
        <f>20-12</f>
        <v>8</v>
      </c>
      <c r="H765" s="204">
        <v>8</v>
      </c>
      <c r="I765" s="212">
        <f t="shared" si="115"/>
        <v>1</v>
      </c>
      <c r="J765" s="13">
        <v>2</v>
      </c>
      <c r="K765" s="43">
        <f t="shared" si="116"/>
        <v>0</v>
      </c>
      <c r="L765" s="43">
        <f t="shared" si="117"/>
        <v>0</v>
      </c>
      <c r="M765" s="43">
        <f t="shared" si="118"/>
        <v>0</v>
      </c>
      <c r="N765" s="57">
        <f t="shared" si="119"/>
        <v>8</v>
      </c>
      <c r="O765" s="57">
        <f t="shared" si="120"/>
        <v>8</v>
      </c>
      <c r="P765" s="57">
        <f t="shared" si="121"/>
        <v>1</v>
      </c>
    </row>
    <row r="766" spans="2:16">
      <c r="B766" s="15" t="s">
        <v>25</v>
      </c>
      <c r="C766" s="50" t="s">
        <v>62</v>
      </c>
      <c r="D766" s="50" t="s">
        <v>49</v>
      </c>
      <c r="E766" s="50" t="s">
        <v>179</v>
      </c>
      <c r="F766" s="50" t="s">
        <v>26</v>
      </c>
      <c r="G766" s="204">
        <f>1901.7-887.6-164.1-100+12</f>
        <v>762</v>
      </c>
      <c r="H766" s="204">
        <v>762</v>
      </c>
      <c r="I766" s="212">
        <f t="shared" si="115"/>
        <v>1</v>
      </c>
      <c r="J766" s="42">
        <v>2</v>
      </c>
      <c r="K766" s="43">
        <f t="shared" si="116"/>
        <v>0</v>
      </c>
      <c r="L766" s="43">
        <f t="shared" si="117"/>
        <v>0</v>
      </c>
      <c r="M766" s="43">
        <f t="shared" si="118"/>
        <v>0</v>
      </c>
      <c r="N766" s="57">
        <f t="shared" si="119"/>
        <v>762</v>
      </c>
      <c r="O766" s="57">
        <f t="shared" si="120"/>
        <v>762</v>
      </c>
      <c r="P766" s="57">
        <f t="shared" si="121"/>
        <v>1</v>
      </c>
    </row>
    <row r="767" spans="2:16">
      <c r="B767" s="15" t="s">
        <v>125</v>
      </c>
      <c r="C767" s="50" t="s">
        <v>62</v>
      </c>
      <c r="D767" s="50" t="s">
        <v>49</v>
      </c>
      <c r="E767" s="50" t="s">
        <v>180</v>
      </c>
      <c r="F767" s="50"/>
      <c r="G767" s="204">
        <f>G768</f>
        <v>6100</v>
      </c>
      <c r="H767" s="204">
        <v>5836.2</v>
      </c>
      <c r="I767" s="212">
        <f t="shared" si="115"/>
        <v>0.95675409836065572</v>
      </c>
      <c r="J767" s="42"/>
      <c r="K767" s="43">
        <f t="shared" si="116"/>
        <v>0</v>
      </c>
      <c r="L767" s="43">
        <f t="shared" si="117"/>
        <v>0</v>
      </c>
      <c r="M767" s="43">
        <f t="shared" si="118"/>
        <v>0</v>
      </c>
      <c r="N767" s="57">
        <f t="shared" si="119"/>
        <v>0</v>
      </c>
      <c r="O767" s="57">
        <f t="shared" si="120"/>
        <v>0</v>
      </c>
      <c r="P767" s="57">
        <f t="shared" si="121"/>
        <v>0</v>
      </c>
    </row>
    <row r="768" spans="2:16">
      <c r="B768" s="15" t="s">
        <v>25</v>
      </c>
      <c r="C768" s="50" t="s">
        <v>62</v>
      </c>
      <c r="D768" s="50" t="s">
        <v>49</v>
      </c>
      <c r="E768" s="50" t="s">
        <v>180</v>
      </c>
      <c r="F768" s="50" t="s">
        <v>26</v>
      </c>
      <c r="G768" s="204">
        <f>8132.6-1012.6-1020</f>
        <v>6100</v>
      </c>
      <c r="H768" s="204">
        <v>5836.2</v>
      </c>
      <c r="I768" s="212">
        <f t="shared" si="115"/>
        <v>0.95675409836065572</v>
      </c>
      <c r="J768" s="42">
        <v>2</v>
      </c>
      <c r="K768" s="43">
        <f t="shared" si="116"/>
        <v>0</v>
      </c>
      <c r="L768" s="43">
        <f t="shared" si="117"/>
        <v>0</v>
      </c>
      <c r="M768" s="43">
        <f t="shared" si="118"/>
        <v>0</v>
      </c>
      <c r="N768" s="57">
        <f t="shared" si="119"/>
        <v>6100</v>
      </c>
      <c r="O768" s="57">
        <f t="shared" si="120"/>
        <v>5836.2</v>
      </c>
      <c r="P768" s="57">
        <f t="shared" si="121"/>
        <v>0.95675409836065572</v>
      </c>
    </row>
    <row r="769" spans="2:16" ht="25.5">
      <c r="B769" s="15" t="s">
        <v>126</v>
      </c>
      <c r="C769" s="50" t="s">
        <v>62</v>
      </c>
      <c r="D769" s="50" t="s">
        <v>49</v>
      </c>
      <c r="E769" s="50" t="s">
        <v>181</v>
      </c>
      <c r="F769" s="50"/>
      <c r="G769" s="204">
        <f>G770</f>
        <v>2670.2999999999997</v>
      </c>
      <c r="H769" s="204">
        <v>2586.1</v>
      </c>
      <c r="I769" s="212">
        <f t="shared" si="115"/>
        <v>0.96846796240122834</v>
      </c>
      <c r="J769" s="42"/>
      <c r="K769" s="43">
        <f t="shared" si="116"/>
        <v>0</v>
      </c>
      <c r="L769" s="43">
        <f t="shared" si="117"/>
        <v>0</v>
      </c>
      <c r="M769" s="43">
        <f t="shared" si="118"/>
        <v>0</v>
      </c>
      <c r="N769" s="57">
        <f t="shared" si="119"/>
        <v>0</v>
      </c>
      <c r="O769" s="57">
        <f t="shared" si="120"/>
        <v>0</v>
      </c>
      <c r="P769" s="57">
        <f t="shared" si="121"/>
        <v>0</v>
      </c>
    </row>
    <row r="770" spans="2:16">
      <c r="B770" s="15" t="s">
        <v>25</v>
      </c>
      <c r="C770" s="50" t="s">
        <v>62</v>
      </c>
      <c r="D770" s="50" t="s">
        <v>49</v>
      </c>
      <c r="E770" s="50" t="s">
        <v>181</v>
      </c>
      <c r="F770" s="50" t="s">
        <v>26</v>
      </c>
      <c r="G770" s="204">
        <f>2820.6-420.3+270</f>
        <v>2670.2999999999997</v>
      </c>
      <c r="H770" s="204">
        <v>2586.1</v>
      </c>
      <c r="I770" s="212">
        <f t="shared" si="115"/>
        <v>0.96846796240122834</v>
      </c>
      <c r="J770" s="42">
        <v>2</v>
      </c>
      <c r="K770" s="43">
        <f t="shared" ref="K770:K779" si="122">SUMIF(J770,1,G770)</f>
        <v>0</v>
      </c>
      <c r="L770" s="43">
        <f t="shared" ref="L770:L779" si="123">SUMIF(J770,1,H770)</f>
        <v>0</v>
      </c>
      <c r="M770" s="43">
        <f t="shared" ref="M770:M779" si="124">SUMIF(J770,1,I770)</f>
        <v>0</v>
      </c>
      <c r="N770" s="57">
        <f t="shared" ref="N770:N779" si="125">SUMIF(J770,2,G770)</f>
        <v>2670.2999999999997</v>
      </c>
      <c r="O770" s="57">
        <f t="shared" ref="O770:O779" si="126">SUMIF(J770,2,H770)</f>
        <v>2586.1</v>
      </c>
      <c r="P770" s="57">
        <f t="shared" ref="P770:P779" si="127">SUMIF(J770,2,I770)</f>
        <v>0.96846796240122834</v>
      </c>
    </row>
    <row r="771" spans="2:16" ht="25.5">
      <c r="B771" s="14" t="s">
        <v>186</v>
      </c>
      <c r="C771" s="11" t="s">
        <v>69</v>
      </c>
      <c r="D771" s="11"/>
      <c r="E771" s="11"/>
      <c r="F771" s="11"/>
      <c r="G771" s="203">
        <f>G772+G784</f>
        <v>26569.1</v>
      </c>
      <c r="H771" s="203">
        <v>26464</v>
      </c>
      <c r="I771" s="207">
        <f t="shared" si="115"/>
        <v>0.9960442769984682</v>
      </c>
      <c r="J771" s="42"/>
      <c r="K771" s="46">
        <f>SUM(K772:K789)</f>
        <v>9554.1</v>
      </c>
      <c r="L771" s="46">
        <f t="shared" ref="L771:P771" si="128">SUM(L772:L789)</f>
        <v>9449</v>
      </c>
      <c r="M771" s="46" t="e">
        <f t="shared" si="128"/>
        <v>#DIV/0!</v>
      </c>
      <c r="N771" s="58">
        <f t="shared" si="128"/>
        <v>17015</v>
      </c>
      <c r="O771" s="58">
        <f t="shared" si="128"/>
        <v>17015</v>
      </c>
      <c r="P771" s="58">
        <f t="shared" si="128"/>
        <v>1</v>
      </c>
    </row>
    <row r="772" spans="2:16">
      <c r="B772" s="14" t="s">
        <v>13</v>
      </c>
      <c r="C772" s="11" t="s">
        <v>69</v>
      </c>
      <c r="D772" s="11" t="s">
        <v>14</v>
      </c>
      <c r="E772" s="11" t="s">
        <v>12</v>
      </c>
      <c r="F772" s="11" t="s">
        <v>12</v>
      </c>
      <c r="G772" s="203">
        <f>G773+G780</f>
        <v>4552.3</v>
      </c>
      <c r="H772" s="203">
        <v>4447.3</v>
      </c>
      <c r="I772" s="207">
        <f t="shared" si="115"/>
        <v>0.97693473628715155</v>
      </c>
      <c r="J772" s="42"/>
      <c r="K772" s="43">
        <f t="shared" si="122"/>
        <v>0</v>
      </c>
      <c r="L772" s="43">
        <f t="shared" si="123"/>
        <v>0</v>
      </c>
      <c r="M772" s="43">
        <f t="shared" si="124"/>
        <v>0</v>
      </c>
      <c r="N772" s="57">
        <f t="shared" si="125"/>
        <v>0</v>
      </c>
      <c r="O772" s="57">
        <f t="shared" si="126"/>
        <v>0</v>
      </c>
      <c r="P772" s="57">
        <f t="shared" si="127"/>
        <v>0</v>
      </c>
    </row>
    <row r="773" spans="2:16" ht="25.5">
      <c r="B773" s="14" t="s">
        <v>57</v>
      </c>
      <c r="C773" s="11" t="s">
        <v>69</v>
      </c>
      <c r="D773" s="11" t="s">
        <v>58</v>
      </c>
      <c r="E773" s="11" t="s">
        <v>12</v>
      </c>
      <c r="F773" s="11" t="s">
        <v>12</v>
      </c>
      <c r="G773" s="203">
        <f>G774+G778</f>
        <v>4552.3</v>
      </c>
      <c r="H773" s="203">
        <v>4447.3</v>
      </c>
      <c r="I773" s="207">
        <f t="shared" si="115"/>
        <v>0.97693473628715155</v>
      </c>
      <c r="J773" s="43"/>
      <c r="K773" s="43">
        <f t="shared" si="122"/>
        <v>0</v>
      </c>
      <c r="L773" s="43">
        <f t="shared" si="123"/>
        <v>0</v>
      </c>
      <c r="M773" s="43">
        <f t="shared" si="124"/>
        <v>0</v>
      </c>
      <c r="N773" s="57">
        <f t="shared" si="125"/>
        <v>0</v>
      </c>
      <c r="O773" s="57">
        <f t="shared" si="126"/>
        <v>0</v>
      </c>
      <c r="P773" s="57">
        <f t="shared" si="127"/>
        <v>0</v>
      </c>
    </row>
    <row r="774" spans="2:16" ht="25.5">
      <c r="B774" s="15" t="s">
        <v>104</v>
      </c>
      <c r="C774" s="50" t="s">
        <v>69</v>
      </c>
      <c r="D774" s="50" t="s">
        <v>58</v>
      </c>
      <c r="E774" s="50" t="s">
        <v>137</v>
      </c>
      <c r="F774" s="50" t="s">
        <v>12</v>
      </c>
      <c r="G774" s="204">
        <f>G775</f>
        <v>4546.3</v>
      </c>
      <c r="H774" s="204">
        <v>4441.5</v>
      </c>
      <c r="I774" s="212">
        <f t="shared" si="115"/>
        <v>0.97694828761850294</v>
      </c>
      <c r="J774" s="42"/>
      <c r="K774" s="43">
        <f t="shared" si="122"/>
        <v>0</v>
      </c>
      <c r="L774" s="43">
        <f t="shared" si="123"/>
        <v>0</v>
      </c>
      <c r="M774" s="43">
        <f t="shared" si="124"/>
        <v>0</v>
      </c>
      <c r="N774" s="57">
        <f t="shared" si="125"/>
        <v>0</v>
      </c>
      <c r="O774" s="57">
        <f t="shared" si="126"/>
        <v>0</v>
      </c>
      <c r="P774" s="57">
        <f t="shared" si="127"/>
        <v>0</v>
      </c>
    </row>
    <row r="775" spans="2:16">
      <c r="B775" s="15" t="s">
        <v>95</v>
      </c>
      <c r="C775" s="50" t="s">
        <v>69</v>
      </c>
      <c r="D775" s="50" t="s">
        <v>58</v>
      </c>
      <c r="E775" s="50" t="s">
        <v>138</v>
      </c>
      <c r="F775" s="50"/>
      <c r="G775" s="204">
        <f>G776+G777</f>
        <v>4546.3</v>
      </c>
      <c r="H775" s="204">
        <v>4441.5</v>
      </c>
      <c r="I775" s="212">
        <f t="shared" si="115"/>
        <v>0.97694828761850294</v>
      </c>
      <c r="J775" s="42"/>
      <c r="K775" s="43">
        <f t="shared" si="122"/>
        <v>0</v>
      </c>
      <c r="L775" s="43">
        <f t="shared" si="123"/>
        <v>0</v>
      </c>
      <c r="M775" s="43">
        <f t="shared" si="124"/>
        <v>0</v>
      </c>
      <c r="N775" s="57">
        <f t="shared" si="125"/>
        <v>0</v>
      </c>
      <c r="O775" s="57">
        <f t="shared" si="126"/>
        <v>0</v>
      </c>
      <c r="P775" s="57">
        <f t="shared" si="127"/>
        <v>0</v>
      </c>
    </row>
    <row r="776" spans="2:16" ht="41.25" customHeight="1">
      <c r="B776" s="15" t="s">
        <v>17</v>
      </c>
      <c r="C776" s="50" t="s">
        <v>69</v>
      </c>
      <c r="D776" s="50" t="s">
        <v>58</v>
      </c>
      <c r="E776" s="50" t="s">
        <v>138</v>
      </c>
      <c r="F776" s="50" t="s">
        <v>18</v>
      </c>
      <c r="G776" s="204">
        <f>3825.4+120+30+133.6</f>
        <v>4109</v>
      </c>
      <c r="H776" s="204">
        <v>4018.3</v>
      </c>
      <c r="I776" s="212">
        <f t="shared" si="115"/>
        <v>0.9779265027987345</v>
      </c>
      <c r="J776" s="42">
        <v>1</v>
      </c>
      <c r="K776" s="43">
        <f t="shared" si="122"/>
        <v>4109</v>
      </c>
      <c r="L776" s="43">
        <f t="shared" si="123"/>
        <v>4018.3</v>
      </c>
      <c r="M776" s="43">
        <f t="shared" si="124"/>
        <v>0.9779265027987345</v>
      </c>
      <c r="N776" s="57">
        <f t="shared" si="125"/>
        <v>0</v>
      </c>
      <c r="O776" s="57">
        <f t="shared" si="126"/>
        <v>0</v>
      </c>
      <c r="P776" s="57">
        <f t="shared" si="127"/>
        <v>0</v>
      </c>
    </row>
    <row r="777" spans="2:16">
      <c r="B777" s="15" t="s">
        <v>19</v>
      </c>
      <c r="C777" s="50" t="s">
        <v>69</v>
      </c>
      <c r="D777" s="50" t="s">
        <v>58</v>
      </c>
      <c r="E777" s="50" t="s">
        <v>138</v>
      </c>
      <c r="F777" s="50" t="s">
        <v>20</v>
      </c>
      <c r="G777" s="204">
        <f>321.7+119.6-3-2.5+1.5</f>
        <v>437.29999999999995</v>
      </c>
      <c r="H777" s="204">
        <v>423.2</v>
      </c>
      <c r="I777" s="212">
        <f t="shared" si="115"/>
        <v>0.96775668877201015</v>
      </c>
      <c r="J777" s="42">
        <v>1</v>
      </c>
      <c r="K777" s="43">
        <f t="shared" si="122"/>
        <v>437.29999999999995</v>
      </c>
      <c r="L777" s="43">
        <f t="shared" si="123"/>
        <v>423.2</v>
      </c>
      <c r="M777" s="43">
        <f t="shared" si="124"/>
        <v>0.96775668877201015</v>
      </c>
      <c r="N777" s="57">
        <f t="shared" si="125"/>
        <v>0</v>
      </c>
      <c r="O777" s="57">
        <f t="shared" si="126"/>
        <v>0</v>
      </c>
      <c r="P777" s="57">
        <f t="shared" si="127"/>
        <v>0</v>
      </c>
    </row>
    <row r="778" spans="2:16">
      <c r="B778" s="15" t="s">
        <v>100</v>
      </c>
      <c r="C778" s="50" t="s">
        <v>69</v>
      </c>
      <c r="D778" s="50" t="s">
        <v>58</v>
      </c>
      <c r="E778" s="50" t="s">
        <v>151</v>
      </c>
      <c r="F778" s="50"/>
      <c r="G778" s="204">
        <f>G779</f>
        <v>6</v>
      </c>
      <c r="H778" s="204">
        <v>5.8</v>
      </c>
      <c r="I778" s="212">
        <f t="shared" si="115"/>
        <v>0.96666666666666667</v>
      </c>
      <c r="J778" s="42"/>
      <c r="K778" s="43">
        <f t="shared" si="122"/>
        <v>0</v>
      </c>
      <c r="L778" s="43">
        <f t="shared" si="123"/>
        <v>0</v>
      </c>
      <c r="M778" s="43">
        <f t="shared" si="124"/>
        <v>0</v>
      </c>
      <c r="N778" s="57">
        <f t="shared" si="125"/>
        <v>0</v>
      </c>
      <c r="O778" s="57">
        <f t="shared" si="126"/>
        <v>0</v>
      </c>
      <c r="P778" s="57">
        <f t="shared" si="127"/>
        <v>0</v>
      </c>
    </row>
    <row r="779" spans="2:16">
      <c r="B779" s="15" t="s">
        <v>21</v>
      </c>
      <c r="C779" s="50" t="s">
        <v>69</v>
      </c>
      <c r="D779" s="50" t="s">
        <v>58</v>
      </c>
      <c r="E779" s="50" t="s">
        <v>151</v>
      </c>
      <c r="F779" s="50" t="s">
        <v>22</v>
      </c>
      <c r="G779" s="204">
        <f>2+3+2.5-1.5</f>
        <v>6</v>
      </c>
      <c r="H779" s="204">
        <v>5.8</v>
      </c>
      <c r="I779" s="212">
        <f t="shared" si="115"/>
        <v>0.96666666666666667</v>
      </c>
      <c r="J779" s="42">
        <v>1</v>
      </c>
      <c r="K779" s="43">
        <f t="shared" si="122"/>
        <v>6</v>
      </c>
      <c r="L779" s="43">
        <f t="shared" si="123"/>
        <v>5.8</v>
      </c>
      <c r="M779" s="43">
        <f t="shared" si="124"/>
        <v>0.96666666666666667</v>
      </c>
      <c r="N779" s="57">
        <f t="shared" si="125"/>
        <v>0</v>
      </c>
      <c r="O779" s="57">
        <f t="shared" si="126"/>
        <v>0</v>
      </c>
      <c r="P779" s="57">
        <f t="shared" si="127"/>
        <v>0</v>
      </c>
    </row>
    <row r="780" spans="2:16" ht="13.5" hidden="1" customHeight="1">
      <c r="B780" s="14" t="s">
        <v>23</v>
      </c>
      <c r="C780" s="11" t="s">
        <v>69</v>
      </c>
      <c r="D780" s="11" t="s">
        <v>24</v>
      </c>
      <c r="E780" s="11"/>
      <c r="F780" s="11" t="s">
        <v>12</v>
      </c>
      <c r="G780" s="203">
        <f>G781</f>
        <v>0</v>
      </c>
      <c r="H780" s="203">
        <v>0</v>
      </c>
      <c r="I780" s="207" t="e">
        <f t="shared" si="115"/>
        <v>#DIV/0!</v>
      </c>
      <c r="J780" s="43"/>
      <c r="K780" s="43">
        <f t="shared" ref="K780:K802" si="129">SUMIF(J780,1,G780)</f>
        <v>0</v>
      </c>
      <c r="L780" s="43">
        <f t="shared" ref="L780:L802" si="130">SUMIF(J780,1,H780)</f>
        <v>0</v>
      </c>
      <c r="M780" s="43">
        <f t="shared" ref="M780:M802" si="131">SUMIF(J780,1,I780)</f>
        <v>0</v>
      </c>
      <c r="N780" s="57">
        <f t="shared" ref="N780:N802" si="132">SUMIF(J780,2,G780)</f>
        <v>0</v>
      </c>
      <c r="O780" s="57">
        <f t="shared" ref="O780:O802" si="133">SUMIF(J780,2,H780)</f>
        <v>0</v>
      </c>
      <c r="P780" s="57">
        <f t="shared" ref="P780:P802" si="134">SUMIF(J780,2,I780)</f>
        <v>0</v>
      </c>
    </row>
    <row r="781" spans="2:16" hidden="1">
      <c r="B781" s="15" t="s">
        <v>78</v>
      </c>
      <c r="C781" s="50" t="s">
        <v>69</v>
      </c>
      <c r="D781" s="50" t="s">
        <v>24</v>
      </c>
      <c r="E781" s="50" t="s">
        <v>139</v>
      </c>
      <c r="F781" s="50" t="s">
        <v>12</v>
      </c>
      <c r="G781" s="204">
        <f>G782</f>
        <v>0</v>
      </c>
      <c r="H781" s="204">
        <v>0</v>
      </c>
      <c r="I781" s="207" t="e">
        <f t="shared" si="115"/>
        <v>#DIV/0!</v>
      </c>
      <c r="J781" s="42"/>
      <c r="K781" s="43">
        <f t="shared" si="129"/>
        <v>0</v>
      </c>
      <c r="L781" s="43">
        <f t="shared" si="130"/>
        <v>0</v>
      </c>
      <c r="M781" s="43">
        <f t="shared" si="131"/>
        <v>0</v>
      </c>
      <c r="N781" s="57">
        <f t="shared" si="132"/>
        <v>0</v>
      </c>
      <c r="O781" s="57">
        <f t="shared" si="133"/>
        <v>0</v>
      </c>
      <c r="P781" s="57">
        <f t="shared" si="134"/>
        <v>0</v>
      </c>
    </row>
    <row r="782" spans="2:16" hidden="1">
      <c r="B782" s="15" t="s">
        <v>70</v>
      </c>
      <c r="C782" s="50" t="s">
        <v>69</v>
      </c>
      <c r="D782" s="50" t="s">
        <v>24</v>
      </c>
      <c r="E782" s="50" t="s">
        <v>182</v>
      </c>
      <c r="F782" s="50"/>
      <c r="G782" s="204">
        <f>G783</f>
        <v>0</v>
      </c>
      <c r="H782" s="204">
        <v>0</v>
      </c>
      <c r="I782" s="207" t="e">
        <f t="shared" si="115"/>
        <v>#DIV/0!</v>
      </c>
      <c r="J782" s="42"/>
      <c r="K782" s="43">
        <f t="shared" si="129"/>
        <v>0</v>
      </c>
      <c r="L782" s="43">
        <f t="shared" si="130"/>
        <v>0</v>
      </c>
      <c r="M782" s="43">
        <f t="shared" si="131"/>
        <v>0</v>
      </c>
      <c r="N782" s="57">
        <f t="shared" si="132"/>
        <v>0</v>
      </c>
      <c r="O782" s="57">
        <f t="shared" si="133"/>
        <v>0</v>
      </c>
      <c r="P782" s="57">
        <f t="shared" si="134"/>
        <v>0</v>
      </c>
    </row>
    <row r="783" spans="2:16" hidden="1">
      <c r="B783" s="15" t="s">
        <v>21</v>
      </c>
      <c r="C783" s="50" t="s">
        <v>69</v>
      </c>
      <c r="D783" s="50" t="s">
        <v>24</v>
      </c>
      <c r="E783" s="50" t="s">
        <v>182</v>
      </c>
      <c r="F783" s="50" t="s">
        <v>22</v>
      </c>
      <c r="G783" s="204">
        <v>0</v>
      </c>
      <c r="H783" s="204">
        <v>0</v>
      </c>
      <c r="I783" s="207" t="e">
        <f t="shared" si="115"/>
        <v>#DIV/0!</v>
      </c>
      <c r="J783" s="42">
        <v>1</v>
      </c>
      <c r="K783" s="43">
        <f t="shared" si="129"/>
        <v>0</v>
      </c>
      <c r="L783" s="43">
        <f t="shared" si="130"/>
        <v>0</v>
      </c>
      <c r="M783" s="43" t="e">
        <f t="shared" si="131"/>
        <v>#DIV/0!</v>
      </c>
      <c r="N783" s="57">
        <f t="shared" si="132"/>
        <v>0</v>
      </c>
      <c r="O783" s="57">
        <f t="shared" si="133"/>
        <v>0</v>
      </c>
      <c r="P783" s="57">
        <f t="shared" si="134"/>
        <v>0</v>
      </c>
    </row>
    <row r="784" spans="2:16" ht="25.5">
      <c r="B784" s="14" t="s">
        <v>319</v>
      </c>
      <c r="C784" s="11" t="s">
        <v>69</v>
      </c>
      <c r="D784" s="11" t="s">
        <v>132</v>
      </c>
      <c r="E784" s="50"/>
      <c r="F784" s="50"/>
      <c r="G784" s="203">
        <f>G785</f>
        <v>22016.799999999999</v>
      </c>
      <c r="H784" s="203">
        <v>22016.7</v>
      </c>
      <c r="I784" s="207">
        <f t="shared" si="115"/>
        <v>0.99999545801388035</v>
      </c>
      <c r="J784" s="42"/>
      <c r="K784" s="43">
        <f t="shared" si="129"/>
        <v>0</v>
      </c>
      <c r="L784" s="43">
        <f t="shared" si="130"/>
        <v>0</v>
      </c>
      <c r="M784" s="43">
        <f t="shared" si="131"/>
        <v>0</v>
      </c>
      <c r="N784" s="57">
        <f t="shared" si="132"/>
        <v>0</v>
      </c>
      <c r="O784" s="57">
        <f t="shared" si="133"/>
        <v>0</v>
      </c>
      <c r="P784" s="57">
        <f t="shared" si="134"/>
        <v>0</v>
      </c>
    </row>
    <row r="785" spans="2:16">
      <c r="B785" s="14" t="s">
        <v>131</v>
      </c>
      <c r="C785" s="11" t="s">
        <v>69</v>
      </c>
      <c r="D785" s="11" t="s">
        <v>133</v>
      </c>
      <c r="E785" s="50"/>
      <c r="F785" s="50"/>
      <c r="G785" s="203">
        <f>G786</f>
        <v>22016.799999999999</v>
      </c>
      <c r="H785" s="203">
        <v>22016.7</v>
      </c>
      <c r="I785" s="207">
        <f t="shared" si="115"/>
        <v>0.99999545801388035</v>
      </c>
      <c r="J785" s="42"/>
      <c r="K785" s="43">
        <f t="shared" si="129"/>
        <v>0</v>
      </c>
      <c r="L785" s="43">
        <f t="shared" si="130"/>
        <v>0</v>
      </c>
      <c r="M785" s="43">
        <f t="shared" si="131"/>
        <v>0</v>
      </c>
      <c r="N785" s="57">
        <f t="shared" si="132"/>
        <v>0</v>
      </c>
      <c r="O785" s="57">
        <f t="shared" si="133"/>
        <v>0</v>
      </c>
      <c r="P785" s="57">
        <f t="shared" si="134"/>
        <v>0</v>
      </c>
    </row>
    <row r="786" spans="2:16" ht="25.5">
      <c r="B786" s="67" t="s">
        <v>129</v>
      </c>
      <c r="C786" s="11" t="s">
        <v>69</v>
      </c>
      <c r="D786" s="11" t="s">
        <v>133</v>
      </c>
      <c r="E786" s="50" t="s">
        <v>139</v>
      </c>
      <c r="F786" s="50"/>
      <c r="G786" s="204">
        <f>G787+G788+G789</f>
        <v>22016.799999999999</v>
      </c>
      <c r="H786" s="204">
        <v>22016.7</v>
      </c>
      <c r="I786" s="212">
        <f t="shared" si="115"/>
        <v>0.99999545801388035</v>
      </c>
      <c r="J786" s="42"/>
      <c r="K786" s="43">
        <f t="shared" si="129"/>
        <v>0</v>
      </c>
      <c r="L786" s="43">
        <f t="shared" si="130"/>
        <v>0</v>
      </c>
      <c r="M786" s="43">
        <f t="shared" si="131"/>
        <v>0</v>
      </c>
      <c r="N786" s="57">
        <f t="shared" si="132"/>
        <v>0</v>
      </c>
      <c r="O786" s="57">
        <f t="shared" si="133"/>
        <v>0</v>
      </c>
      <c r="P786" s="57">
        <f t="shared" si="134"/>
        <v>0</v>
      </c>
    </row>
    <row r="787" spans="2:16" ht="29.25" customHeight="1">
      <c r="B787" s="15" t="s">
        <v>334</v>
      </c>
      <c r="C787" s="50" t="s">
        <v>69</v>
      </c>
      <c r="D787" s="50" t="s">
        <v>133</v>
      </c>
      <c r="E787" s="50" t="s">
        <v>337</v>
      </c>
      <c r="F787" s="50" t="s">
        <v>134</v>
      </c>
      <c r="G787" s="204">
        <v>17015</v>
      </c>
      <c r="H787" s="204">
        <v>17015</v>
      </c>
      <c r="I787" s="212">
        <f t="shared" si="115"/>
        <v>1</v>
      </c>
      <c r="J787" s="43">
        <v>2</v>
      </c>
      <c r="K787" s="43">
        <f t="shared" si="129"/>
        <v>0</v>
      </c>
      <c r="L787" s="43">
        <f t="shared" si="130"/>
        <v>0</v>
      </c>
      <c r="M787" s="43">
        <f t="shared" si="131"/>
        <v>0</v>
      </c>
      <c r="N787" s="57">
        <f t="shared" si="132"/>
        <v>17015</v>
      </c>
      <c r="O787" s="57">
        <f t="shared" si="133"/>
        <v>17015</v>
      </c>
      <c r="P787" s="57">
        <f t="shared" si="134"/>
        <v>1</v>
      </c>
    </row>
    <row r="788" spans="2:16" ht="14.25" customHeight="1">
      <c r="B788" s="15" t="s">
        <v>336</v>
      </c>
      <c r="C788" s="50" t="s">
        <v>69</v>
      </c>
      <c r="D788" s="50" t="s">
        <v>133</v>
      </c>
      <c r="E788" s="50" t="s">
        <v>183</v>
      </c>
      <c r="F788" s="50" t="s">
        <v>134</v>
      </c>
      <c r="G788" s="204">
        <f>3000+1159.8+200+470</f>
        <v>4829.8</v>
      </c>
      <c r="H788" s="204">
        <v>4829.7</v>
      </c>
      <c r="I788" s="212">
        <f t="shared" si="115"/>
        <v>0.99997929520891127</v>
      </c>
      <c r="J788" s="42">
        <v>1</v>
      </c>
      <c r="K788" s="43">
        <f t="shared" si="129"/>
        <v>4829.8</v>
      </c>
      <c r="L788" s="43">
        <f t="shared" si="130"/>
        <v>4829.7</v>
      </c>
      <c r="M788" s="43">
        <f t="shared" si="131"/>
        <v>0.99997929520891127</v>
      </c>
      <c r="N788" s="57">
        <f t="shared" si="132"/>
        <v>0</v>
      </c>
      <c r="O788" s="57">
        <f t="shared" si="133"/>
        <v>0</v>
      </c>
      <c r="P788" s="57">
        <f t="shared" si="134"/>
        <v>0</v>
      </c>
    </row>
    <row r="789" spans="2:16" ht="27" customHeight="1">
      <c r="B789" s="15" t="s">
        <v>576</v>
      </c>
      <c r="C789" s="50" t="s">
        <v>69</v>
      </c>
      <c r="D789" s="50" t="s">
        <v>133</v>
      </c>
      <c r="E789" s="50" t="s">
        <v>577</v>
      </c>
      <c r="F789" s="50" t="s">
        <v>134</v>
      </c>
      <c r="G789" s="204">
        <v>172</v>
      </c>
      <c r="H789" s="204">
        <v>172</v>
      </c>
      <c r="I789" s="212">
        <f t="shared" si="115"/>
        <v>1</v>
      </c>
      <c r="J789" s="42">
        <v>1</v>
      </c>
      <c r="K789" s="43">
        <f t="shared" si="129"/>
        <v>172</v>
      </c>
      <c r="L789" s="43">
        <f t="shared" si="130"/>
        <v>172</v>
      </c>
      <c r="M789" s="43">
        <f t="shared" si="131"/>
        <v>1</v>
      </c>
      <c r="N789" s="57">
        <f t="shared" si="132"/>
        <v>0</v>
      </c>
      <c r="O789" s="57">
        <f t="shared" si="133"/>
        <v>0</v>
      </c>
      <c r="P789" s="57">
        <f t="shared" si="134"/>
        <v>0</v>
      </c>
    </row>
    <row r="790" spans="2:16" ht="25.5">
      <c r="B790" s="14" t="s">
        <v>187</v>
      </c>
      <c r="C790" s="11" t="s">
        <v>71</v>
      </c>
      <c r="D790" s="11"/>
      <c r="E790" s="11"/>
      <c r="F790" s="11"/>
      <c r="G790" s="203">
        <f t="shared" ref="G790:G791" si="135">G791</f>
        <v>1265.7</v>
      </c>
      <c r="H790" s="203">
        <v>1256.5999999999999</v>
      </c>
      <c r="I790" s="207">
        <f t="shared" si="115"/>
        <v>0.99281030259935199</v>
      </c>
      <c r="J790" s="42"/>
      <c r="K790" s="46">
        <f>SUM(K791:K802)</f>
        <v>819</v>
      </c>
      <c r="L790" s="46">
        <f t="shared" ref="L790:P790" si="136">SUM(L791:L802)</f>
        <v>809.90000000000009</v>
      </c>
      <c r="M790" s="46">
        <f t="shared" si="136"/>
        <v>2.9141891891891891</v>
      </c>
      <c r="N790" s="58">
        <f t="shared" si="136"/>
        <v>446.70000000000005</v>
      </c>
      <c r="O790" s="58">
        <f t="shared" si="136"/>
        <v>446.70000000000005</v>
      </c>
      <c r="P790" s="58">
        <f t="shared" si="136"/>
        <v>2</v>
      </c>
    </row>
    <row r="791" spans="2:16">
      <c r="B791" s="14" t="s">
        <v>13</v>
      </c>
      <c r="C791" s="11" t="s">
        <v>71</v>
      </c>
      <c r="D791" s="11" t="s">
        <v>14</v>
      </c>
      <c r="E791" s="11" t="s">
        <v>12</v>
      </c>
      <c r="F791" s="11" t="s">
        <v>12</v>
      </c>
      <c r="G791" s="203">
        <f t="shared" si="135"/>
        <v>1265.7</v>
      </c>
      <c r="H791" s="203">
        <v>1256.5999999999999</v>
      </c>
      <c r="I791" s="207">
        <f t="shared" si="115"/>
        <v>0.99281030259935199</v>
      </c>
      <c r="J791" s="42"/>
      <c r="K791" s="43">
        <f t="shared" si="129"/>
        <v>0</v>
      </c>
      <c r="L791" s="43">
        <f t="shared" si="130"/>
        <v>0</v>
      </c>
      <c r="M791" s="43">
        <f t="shared" si="131"/>
        <v>0</v>
      </c>
      <c r="N791" s="57">
        <f t="shared" si="132"/>
        <v>0</v>
      </c>
      <c r="O791" s="57">
        <f t="shared" si="133"/>
        <v>0</v>
      </c>
      <c r="P791" s="57">
        <f t="shared" si="134"/>
        <v>0</v>
      </c>
    </row>
    <row r="792" spans="2:16" ht="25.5">
      <c r="B792" s="14" t="s">
        <v>57</v>
      </c>
      <c r="C792" s="11" t="s">
        <v>71</v>
      </c>
      <c r="D792" s="11" t="s">
        <v>58</v>
      </c>
      <c r="E792" s="11" t="s">
        <v>12</v>
      </c>
      <c r="F792" s="11" t="s">
        <v>12</v>
      </c>
      <c r="G792" s="203">
        <f>G793+G797</f>
        <v>1265.7</v>
      </c>
      <c r="H792" s="203">
        <v>1256.5999999999999</v>
      </c>
      <c r="I792" s="207">
        <f t="shared" si="115"/>
        <v>0.99281030259935199</v>
      </c>
      <c r="J792" s="43"/>
      <c r="K792" s="43">
        <f t="shared" si="129"/>
        <v>0</v>
      </c>
      <c r="L792" s="43">
        <f t="shared" si="130"/>
        <v>0</v>
      </c>
      <c r="M792" s="43">
        <f t="shared" si="131"/>
        <v>0</v>
      </c>
      <c r="N792" s="57">
        <f t="shared" si="132"/>
        <v>0</v>
      </c>
      <c r="O792" s="57">
        <f t="shared" si="133"/>
        <v>0</v>
      </c>
      <c r="P792" s="57">
        <f t="shared" si="134"/>
        <v>0</v>
      </c>
    </row>
    <row r="793" spans="2:16" ht="25.5">
      <c r="B793" s="15" t="s">
        <v>104</v>
      </c>
      <c r="C793" s="50" t="s">
        <v>71</v>
      </c>
      <c r="D793" s="50" t="s">
        <v>58</v>
      </c>
      <c r="E793" s="50" t="s">
        <v>137</v>
      </c>
      <c r="F793" s="50" t="s">
        <v>12</v>
      </c>
      <c r="G793" s="204">
        <f>G794</f>
        <v>818</v>
      </c>
      <c r="H793" s="204">
        <v>808.9</v>
      </c>
      <c r="I793" s="212">
        <f t="shared" si="115"/>
        <v>0.98887530562347181</v>
      </c>
      <c r="J793" s="42"/>
      <c r="K793" s="43">
        <f t="shared" si="129"/>
        <v>0</v>
      </c>
      <c r="L793" s="43">
        <f t="shared" si="130"/>
        <v>0</v>
      </c>
      <c r="M793" s="43">
        <f t="shared" si="131"/>
        <v>0</v>
      </c>
      <c r="N793" s="57">
        <f t="shared" si="132"/>
        <v>0</v>
      </c>
      <c r="O793" s="57">
        <f t="shared" si="133"/>
        <v>0</v>
      </c>
      <c r="P793" s="57">
        <f t="shared" si="134"/>
        <v>0</v>
      </c>
    </row>
    <row r="794" spans="2:16">
      <c r="B794" s="15" t="s">
        <v>101</v>
      </c>
      <c r="C794" s="50" t="s">
        <v>71</v>
      </c>
      <c r="D794" s="50" t="s">
        <v>58</v>
      </c>
      <c r="E794" s="50" t="s">
        <v>184</v>
      </c>
      <c r="F794" s="50"/>
      <c r="G794" s="204">
        <f>G795+G796</f>
        <v>818</v>
      </c>
      <c r="H794" s="204">
        <v>808.9</v>
      </c>
      <c r="I794" s="212">
        <f t="shared" si="115"/>
        <v>0.98887530562347181</v>
      </c>
      <c r="J794" s="42"/>
      <c r="K794" s="43">
        <f t="shared" si="129"/>
        <v>0</v>
      </c>
      <c r="L794" s="43">
        <f t="shared" si="130"/>
        <v>0</v>
      </c>
      <c r="M794" s="43">
        <f t="shared" si="131"/>
        <v>0</v>
      </c>
      <c r="N794" s="57">
        <f t="shared" si="132"/>
        <v>0</v>
      </c>
      <c r="O794" s="57">
        <f t="shared" si="133"/>
        <v>0</v>
      </c>
      <c r="P794" s="57">
        <f t="shared" si="134"/>
        <v>0</v>
      </c>
    </row>
    <row r="795" spans="2:16" ht="41.25" customHeight="1">
      <c r="B795" s="15" t="s">
        <v>17</v>
      </c>
      <c r="C795" s="50" t="s">
        <v>71</v>
      </c>
      <c r="D795" s="50" t="s">
        <v>58</v>
      </c>
      <c r="E795" s="50" t="s">
        <v>184</v>
      </c>
      <c r="F795" s="50" t="s">
        <v>18</v>
      </c>
      <c r="G795" s="204">
        <v>814</v>
      </c>
      <c r="H795" s="204">
        <v>805.2</v>
      </c>
      <c r="I795" s="212">
        <f t="shared" ref="I795:I803" si="137">H795/G795</f>
        <v>0.9891891891891893</v>
      </c>
      <c r="J795" s="42">
        <v>1</v>
      </c>
      <c r="K795" s="43">
        <f t="shared" si="129"/>
        <v>814</v>
      </c>
      <c r="L795" s="43">
        <f t="shared" si="130"/>
        <v>805.2</v>
      </c>
      <c r="M795" s="43">
        <f t="shared" si="131"/>
        <v>0.9891891891891893</v>
      </c>
      <c r="N795" s="57">
        <f t="shared" si="132"/>
        <v>0</v>
      </c>
      <c r="O795" s="57">
        <f t="shared" si="133"/>
        <v>0</v>
      </c>
      <c r="P795" s="57">
        <f t="shared" si="134"/>
        <v>0</v>
      </c>
    </row>
    <row r="796" spans="2:16">
      <c r="B796" s="15" t="s">
        <v>19</v>
      </c>
      <c r="C796" s="50" t="s">
        <v>71</v>
      </c>
      <c r="D796" s="50" t="s">
        <v>58</v>
      </c>
      <c r="E796" s="50" t="s">
        <v>184</v>
      </c>
      <c r="F796" s="50" t="s">
        <v>20</v>
      </c>
      <c r="G796" s="204">
        <v>4</v>
      </c>
      <c r="H796" s="204">
        <v>3.7</v>
      </c>
      <c r="I796" s="212">
        <f t="shared" si="137"/>
        <v>0.92500000000000004</v>
      </c>
      <c r="J796" s="42">
        <v>1</v>
      </c>
      <c r="K796" s="43">
        <f t="shared" si="129"/>
        <v>4</v>
      </c>
      <c r="L796" s="43">
        <f t="shared" si="130"/>
        <v>3.7</v>
      </c>
      <c r="M796" s="43">
        <f t="shared" si="131"/>
        <v>0.92500000000000004</v>
      </c>
      <c r="N796" s="57">
        <f t="shared" si="132"/>
        <v>0</v>
      </c>
      <c r="O796" s="57">
        <f t="shared" si="133"/>
        <v>0</v>
      </c>
      <c r="P796" s="57">
        <f t="shared" si="134"/>
        <v>0</v>
      </c>
    </row>
    <row r="797" spans="2:16">
      <c r="B797" s="15" t="s">
        <v>76</v>
      </c>
      <c r="C797" s="50" t="s">
        <v>71</v>
      </c>
      <c r="D797" s="50" t="s">
        <v>58</v>
      </c>
      <c r="E797" s="50" t="s">
        <v>139</v>
      </c>
      <c r="F797" s="50"/>
      <c r="G797" s="204">
        <f>G798+G800</f>
        <v>447.70000000000005</v>
      </c>
      <c r="H797" s="204">
        <v>447.7</v>
      </c>
      <c r="I797" s="212">
        <f t="shared" si="137"/>
        <v>0.99999999999999989</v>
      </c>
      <c r="J797" s="42"/>
      <c r="K797" s="43">
        <f t="shared" si="129"/>
        <v>0</v>
      </c>
      <c r="L797" s="43">
        <f t="shared" si="130"/>
        <v>0</v>
      </c>
      <c r="M797" s="43">
        <f t="shared" si="131"/>
        <v>0</v>
      </c>
      <c r="N797" s="57">
        <f t="shared" si="132"/>
        <v>0</v>
      </c>
      <c r="O797" s="57">
        <f t="shared" si="133"/>
        <v>0</v>
      </c>
      <c r="P797" s="57">
        <f t="shared" si="134"/>
        <v>0</v>
      </c>
    </row>
    <row r="798" spans="2:16">
      <c r="B798" s="15" t="s">
        <v>100</v>
      </c>
      <c r="C798" s="50" t="s">
        <v>71</v>
      </c>
      <c r="D798" s="50" t="s">
        <v>58</v>
      </c>
      <c r="E798" s="50" t="s">
        <v>151</v>
      </c>
      <c r="F798" s="50"/>
      <c r="G798" s="204">
        <f>G799</f>
        <v>1</v>
      </c>
      <c r="H798" s="204">
        <v>1</v>
      </c>
      <c r="I798" s="212">
        <f t="shared" si="137"/>
        <v>1</v>
      </c>
      <c r="J798" s="42"/>
      <c r="K798" s="43">
        <f t="shared" si="129"/>
        <v>0</v>
      </c>
      <c r="L798" s="43">
        <f t="shared" si="130"/>
        <v>0</v>
      </c>
      <c r="M798" s="43">
        <f t="shared" si="131"/>
        <v>0</v>
      </c>
      <c r="N798" s="57">
        <f t="shared" si="132"/>
        <v>0</v>
      </c>
      <c r="O798" s="57">
        <f t="shared" si="133"/>
        <v>0</v>
      </c>
      <c r="P798" s="57">
        <f t="shared" si="134"/>
        <v>0</v>
      </c>
    </row>
    <row r="799" spans="2:16">
      <c r="B799" s="15" t="s">
        <v>21</v>
      </c>
      <c r="C799" s="50" t="s">
        <v>71</v>
      </c>
      <c r="D799" s="68" t="s">
        <v>58</v>
      </c>
      <c r="E799" s="50" t="s">
        <v>151</v>
      </c>
      <c r="F799" s="50" t="s">
        <v>22</v>
      </c>
      <c r="G799" s="204">
        <v>1</v>
      </c>
      <c r="H799" s="204">
        <v>1</v>
      </c>
      <c r="I799" s="212">
        <f t="shared" si="137"/>
        <v>1</v>
      </c>
      <c r="J799" s="42">
        <v>1</v>
      </c>
      <c r="K799" s="43">
        <f t="shared" si="129"/>
        <v>1</v>
      </c>
      <c r="L799" s="43">
        <f t="shared" si="130"/>
        <v>1</v>
      </c>
      <c r="M799" s="43">
        <f t="shared" si="131"/>
        <v>1</v>
      </c>
      <c r="N799" s="57">
        <f t="shared" si="132"/>
        <v>0</v>
      </c>
      <c r="O799" s="57">
        <f t="shared" si="133"/>
        <v>0</v>
      </c>
      <c r="P799" s="57">
        <f t="shared" si="134"/>
        <v>0</v>
      </c>
    </row>
    <row r="800" spans="2:16">
      <c r="B800" s="15" t="s">
        <v>102</v>
      </c>
      <c r="C800" s="50" t="s">
        <v>71</v>
      </c>
      <c r="D800" s="68" t="s">
        <v>58</v>
      </c>
      <c r="E800" s="50" t="s">
        <v>144</v>
      </c>
      <c r="F800" s="50"/>
      <c r="G800" s="204">
        <f>G801+G802</f>
        <v>446.70000000000005</v>
      </c>
      <c r="H800" s="204">
        <v>446.7</v>
      </c>
      <c r="I800" s="212">
        <f t="shared" si="137"/>
        <v>0.99999999999999989</v>
      </c>
      <c r="J800" s="43"/>
      <c r="K800" s="43">
        <f t="shared" si="129"/>
        <v>0</v>
      </c>
      <c r="L800" s="43">
        <f t="shared" si="130"/>
        <v>0</v>
      </c>
      <c r="M800" s="43">
        <f t="shared" si="131"/>
        <v>0</v>
      </c>
      <c r="N800" s="57">
        <f t="shared" si="132"/>
        <v>0</v>
      </c>
      <c r="O800" s="57">
        <f t="shared" si="133"/>
        <v>0</v>
      </c>
      <c r="P800" s="57">
        <f t="shared" si="134"/>
        <v>0</v>
      </c>
    </row>
    <row r="801" spans="2:16" ht="40.5" customHeight="1">
      <c r="B801" s="15" t="s">
        <v>17</v>
      </c>
      <c r="C801" s="50" t="s">
        <v>71</v>
      </c>
      <c r="D801" s="68" t="s">
        <v>58</v>
      </c>
      <c r="E801" s="50" t="s">
        <v>144</v>
      </c>
      <c r="F801" s="50" t="s">
        <v>18</v>
      </c>
      <c r="G801" s="204">
        <f>405.4+32.8+2.6+0.8</f>
        <v>441.6</v>
      </c>
      <c r="H801" s="204">
        <v>441.6</v>
      </c>
      <c r="I801" s="212">
        <f t="shared" si="137"/>
        <v>1</v>
      </c>
      <c r="J801" s="42">
        <v>2</v>
      </c>
      <c r="K801" s="43">
        <f t="shared" si="129"/>
        <v>0</v>
      </c>
      <c r="L801" s="43">
        <f t="shared" si="130"/>
        <v>0</v>
      </c>
      <c r="M801" s="43">
        <f t="shared" si="131"/>
        <v>0</v>
      </c>
      <c r="N801" s="57">
        <f t="shared" si="132"/>
        <v>441.6</v>
      </c>
      <c r="O801" s="57">
        <f t="shared" si="133"/>
        <v>441.6</v>
      </c>
      <c r="P801" s="57">
        <f t="shared" si="134"/>
        <v>1</v>
      </c>
    </row>
    <row r="802" spans="2:16">
      <c r="B802" s="15" t="s">
        <v>19</v>
      </c>
      <c r="C802" s="50" t="s">
        <v>71</v>
      </c>
      <c r="D802" s="68" t="s">
        <v>58</v>
      </c>
      <c r="E802" s="50" t="s">
        <v>144</v>
      </c>
      <c r="F802" s="50" t="s">
        <v>20</v>
      </c>
      <c r="G802" s="204">
        <v>5.0999999999999996</v>
      </c>
      <c r="H802" s="204">
        <v>5.0999999999999996</v>
      </c>
      <c r="I802" s="212">
        <f t="shared" si="137"/>
        <v>1</v>
      </c>
      <c r="J802" s="42">
        <v>2</v>
      </c>
      <c r="K802" s="43">
        <f t="shared" si="129"/>
        <v>0</v>
      </c>
      <c r="L802" s="43">
        <f t="shared" si="130"/>
        <v>0</v>
      </c>
      <c r="M802" s="43">
        <f t="shared" si="131"/>
        <v>0</v>
      </c>
      <c r="N802" s="57">
        <f t="shared" si="132"/>
        <v>5.0999999999999996</v>
      </c>
      <c r="O802" s="57">
        <f t="shared" si="133"/>
        <v>5.0999999999999996</v>
      </c>
      <c r="P802" s="57">
        <f t="shared" si="134"/>
        <v>1</v>
      </c>
    </row>
    <row r="803" spans="2:16">
      <c r="B803" s="14" t="s">
        <v>60</v>
      </c>
      <c r="C803" s="51"/>
      <c r="D803" s="71"/>
      <c r="E803" s="51"/>
      <c r="F803" s="51"/>
      <c r="G803" s="119">
        <f>G790+G771+G490+G380+G23+G9</f>
        <v>627635.5</v>
      </c>
      <c r="H803" s="119">
        <f>H790+H771+H490+H380+H23+H9</f>
        <v>582537.69999999995</v>
      </c>
      <c r="I803" s="207">
        <f t="shared" si="137"/>
        <v>0.92814651178908769</v>
      </c>
      <c r="J803" s="13"/>
      <c r="K803" s="46">
        <f t="shared" ref="K803:P803" si="138">K790+K771+K490+K380+K23+K9</f>
        <v>182692.1</v>
      </c>
      <c r="L803" s="46">
        <f t="shared" si="138"/>
        <v>156584.70000000001</v>
      </c>
      <c r="M803" s="46" t="e">
        <f t="shared" si="138"/>
        <v>#DIV/0!</v>
      </c>
      <c r="N803" s="58">
        <f t="shared" si="138"/>
        <v>271460.19999999995</v>
      </c>
      <c r="O803" s="58">
        <f t="shared" si="138"/>
        <v>261451.9</v>
      </c>
      <c r="P803" s="58" t="e">
        <f t="shared" si="138"/>
        <v>#DIV/0!</v>
      </c>
    </row>
    <row r="804" spans="2:16">
      <c r="B804" s="15" t="s">
        <v>944</v>
      </c>
      <c r="C804" s="51"/>
      <c r="D804" s="71"/>
      <c r="E804" s="51"/>
      <c r="F804" s="51"/>
      <c r="G804" s="119"/>
      <c r="H804" s="117">
        <v>3000</v>
      </c>
      <c r="I804" s="212"/>
      <c r="J804" s="208"/>
      <c r="K804" s="209"/>
      <c r="L804" s="209"/>
      <c r="M804" s="209"/>
      <c r="N804" s="210"/>
      <c r="O804" s="210"/>
      <c r="P804" s="210"/>
    </row>
    <row r="805" spans="2:16">
      <c r="B805" s="14" t="s">
        <v>945</v>
      </c>
      <c r="C805" s="51"/>
      <c r="D805" s="71"/>
      <c r="E805" s="51"/>
      <c r="F805" s="51"/>
      <c r="G805" s="119">
        <v>627635.5</v>
      </c>
      <c r="H805" s="119">
        <v>585537.69999999995</v>
      </c>
      <c r="I805" s="207">
        <v>0.92800000000000005</v>
      </c>
      <c r="J805" s="208"/>
      <c r="K805" s="209"/>
      <c r="L805" s="209"/>
      <c r="M805" s="209"/>
      <c r="N805" s="210"/>
      <c r="O805" s="210"/>
      <c r="P805" s="210"/>
    </row>
    <row r="806" spans="2:16">
      <c r="B806" s="15" t="s">
        <v>191</v>
      </c>
      <c r="C806" s="68"/>
      <c r="D806" s="211"/>
      <c r="E806" s="68"/>
      <c r="F806" s="68"/>
      <c r="G806" s="117">
        <v>-26086.1</v>
      </c>
      <c r="H806" s="117">
        <v>-16427.099999999999</v>
      </c>
      <c r="I806" s="120"/>
      <c r="J806" s="47"/>
      <c r="K806" s="47"/>
      <c r="L806" s="47"/>
      <c r="M806" s="48"/>
    </row>
    <row r="807" spans="2:16">
      <c r="B807" s="14"/>
      <c r="C807" s="51"/>
      <c r="D807" s="71"/>
      <c r="E807" s="51"/>
      <c r="F807" s="51"/>
      <c r="G807" s="119"/>
      <c r="H807" s="119"/>
      <c r="I807" s="120"/>
      <c r="J807" s="49"/>
      <c r="K807" s="49">
        <f>K803+N803</f>
        <v>454152.29999999993</v>
      </c>
      <c r="L807" s="49">
        <f t="shared" ref="L807:M807" si="139">L803+O803</f>
        <v>418036.6</v>
      </c>
      <c r="M807" s="49" t="e">
        <f t="shared" si="139"/>
        <v>#DIV/0!</v>
      </c>
      <c r="N807" s="59">
        <v>277915.7</v>
      </c>
      <c r="O807" s="59">
        <v>241989</v>
      </c>
      <c r="P807" s="59">
        <v>234502.3</v>
      </c>
    </row>
    <row r="808" spans="2:16">
      <c r="J808" s="48"/>
      <c r="K808" s="47">
        <f>G803-K807</f>
        <v>173483.20000000007</v>
      </c>
      <c r="L808" s="47">
        <f t="shared" ref="L808:M808" si="140">H803-L807</f>
        <v>164501.09999999998</v>
      </c>
      <c r="M808" s="47" t="e">
        <f t="shared" si="140"/>
        <v>#DIV/0!</v>
      </c>
      <c r="N808" s="59">
        <f>N807-N803</f>
        <v>6455.5000000000582</v>
      </c>
      <c r="O808" s="59">
        <f t="shared" ref="O808:P808" si="141">O807-O803</f>
        <v>-19462.899999999994</v>
      </c>
      <c r="P808" s="59" t="e">
        <f t="shared" si="141"/>
        <v>#DIV/0!</v>
      </c>
    </row>
    <row r="809" spans="2:16">
      <c r="B809" s="27"/>
      <c r="C809" s="72"/>
      <c r="D809" s="72"/>
      <c r="E809" s="72"/>
      <c r="F809" s="72"/>
      <c r="G809" s="202"/>
      <c r="H809" s="202"/>
      <c r="I809" s="202"/>
      <c r="J809" s="48"/>
      <c r="K809" s="48"/>
      <c r="L809" s="48"/>
      <c r="M809" s="48"/>
    </row>
    <row r="810" spans="2:16">
      <c r="B810" s="27"/>
      <c r="C810" s="72"/>
      <c r="D810" s="72"/>
      <c r="E810" s="72"/>
      <c r="F810" s="72"/>
      <c r="G810" s="202"/>
      <c r="H810" s="202"/>
      <c r="K810" s="4">
        <v>172097.7</v>
      </c>
      <c r="L810" s="4">
        <v>167434.70000000001</v>
      </c>
      <c r="M810" s="4">
        <v>168619.3</v>
      </c>
    </row>
    <row r="811" spans="2:16">
      <c r="B811" s="27"/>
      <c r="C811" s="72"/>
      <c r="D811" s="72"/>
      <c r="E811" s="72"/>
      <c r="F811" s="72"/>
      <c r="G811" s="239"/>
      <c r="H811" s="239"/>
      <c r="I811" s="239"/>
      <c r="K811" s="19">
        <f>K803-K810</f>
        <v>10594.399999999994</v>
      </c>
      <c r="L811" s="19">
        <f t="shared" ref="L811:M811" si="142">L803-L810</f>
        <v>-10850</v>
      </c>
      <c r="M811" s="19" t="e">
        <f t="shared" si="142"/>
        <v>#DIV/0!</v>
      </c>
    </row>
    <row r="812" spans="2:16">
      <c r="B812" s="27"/>
      <c r="C812" s="72"/>
      <c r="D812" s="72"/>
      <c r="E812" s="72"/>
      <c r="F812" s="72"/>
      <c r="G812" s="239"/>
      <c r="H812" s="239"/>
    </row>
    <row r="813" spans="2:16">
      <c r="B813" s="27"/>
      <c r="C813" s="72"/>
      <c r="D813" s="72"/>
      <c r="E813" s="72"/>
      <c r="F813" s="72"/>
      <c r="G813" s="239"/>
      <c r="H813" s="239"/>
    </row>
  </sheetData>
  <protectedRanges>
    <protectedRange password="C71F" sqref="H806:I806 H37 H123:H126 H104:H105 H390 H795:H796 H261:H263 G445 H799 G502:H502 H128 H136 G347:H347 H788:H789 H417:H419 H431:H433 G271:H273 H392 G463:H464 H32:H34 H342 H770 H116 H58 H742:H743 H21:H22 H403 H148:I148 H251 H91 H450:H453 H783 H247 H71 H547:H548 H759 G385:H387 H442 G737:H738 H748:H749 H85 G245:H245 G761:H761 H722:H725 H236 H98:H102 H367:H369 H238 G158:H163 G275:H277 H512:H516 H378:H379 H14:H15 H17 H436:H440 G504:H505 H312:H315 H317:H318 H93 H255 H371 G326:G332 H640 H642:H643 H455 H64:H66 G218:H233 H280 H286:H288 G177:H180 G183:H186 G268:H269 H508 H374 H754 G765:H768 H727 G658:H662 G457:H458 G207:H215 H326 H240 G731:H734 G397:H397 G333:H333 H691:H692 G644:H655 H335 G664:H685 H686:H689 H444:H446 G518:H536 H88:H89 G140:H145 G490:H491 H109:H114 H330:H332" name="Диапазон1"/>
    <protectedRange password="C71F" sqref="H39:H40 H48:H49 H45:H46 H42:H43" name="Диапазон1_1"/>
    <protectedRange password="C71F" sqref="G77:H78 G80:H83" name="Диапазон1_2"/>
    <protectedRange password="C71F" sqref="H801:H802" name="Диапазон1_3"/>
    <protectedRange password="C71F" sqref="G182:H182" name="Диапазон1_4"/>
  </protectedRanges>
  <dataConsolidate/>
  <mergeCells count="16">
    <mergeCell ref="G813:H813"/>
    <mergeCell ref="B4:I4"/>
    <mergeCell ref="I6:I7"/>
    <mergeCell ref="F6:F7"/>
    <mergeCell ref="E6:E7"/>
    <mergeCell ref="G5:H5"/>
    <mergeCell ref="D6:D7"/>
    <mergeCell ref="C6:C7"/>
    <mergeCell ref="B6:B7"/>
    <mergeCell ref="G6:G7"/>
    <mergeCell ref="H6:H7"/>
    <mergeCell ref="E1:I3"/>
    <mergeCell ref="G811:I811"/>
    <mergeCell ref="K1:M1"/>
    <mergeCell ref="N1:P1"/>
    <mergeCell ref="G812:H812"/>
  </mergeCells>
  <phoneticPr fontId="1" type="noConversion"/>
  <pageMargins left="0.78740157480314965" right="0.19685039370078741" top="0.19685039370078741" bottom="0.19685039370078741" header="0" footer="0"/>
  <pageSetup paperSize="9" scale="68" fitToHeight="0" orientation="portrait" r:id="rId1"/>
  <headerFooter differentFirst="1" alignWithMargins="0"/>
  <rowBreaks count="12" manualBreakCount="12">
    <brk id="62" min="1" max="8" man="1"/>
    <brk id="135" min="1" max="8" man="1"/>
    <brk id="195" min="1" max="8" man="1"/>
    <brk id="254" min="1" max="8" man="1"/>
    <brk id="332" min="1" max="8" man="1"/>
    <brk id="398" min="1" max="8" man="1"/>
    <brk id="472" min="1" max="8" man="1"/>
    <brk id="527" min="1" max="8" man="1"/>
    <brk id="583" min="1" max="8" man="1"/>
    <brk id="643" min="1" max="8" man="1"/>
    <brk id="693" min="1" max="8" man="1"/>
    <brk id="746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0"/>
  <sheetViews>
    <sheetView view="pageBreakPreview" topLeftCell="A143" zoomScaleSheetLayoutView="100" workbookViewId="0">
      <selection activeCell="D70" sqref="D70"/>
    </sheetView>
  </sheetViews>
  <sheetFormatPr defaultColWidth="9.140625" defaultRowHeight="12.75"/>
  <cols>
    <col min="1" max="1" width="0.140625" style="4" customWidth="1"/>
    <col min="2" max="2" width="87.42578125" style="70" customWidth="1"/>
    <col min="3" max="3" width="17" style="70" customWidth="1"/>
    <col min="4" max="4" width="12.42578125" style="130" customWidth="1"/>
    <col min="5" max="5" width="9.7109375" style="130" customWidth="1"/>
    <col min="6" max="6" width="9.140625" style="130" customWidth="1"/>
    <col min="7" max="16384" width="9.140625" style="4"/>
  </cols>
  <sheetData>
    <row r="1" spans="2:10">
      <c r="C1" s="237"/>
      <c r="D1" s="237"/>
      <c r="E1" s="237"/>
      <c r="F1" s="237"/>
    </row>
    <row r="2" spans="2:10" ht="13.5" customHeight="1">
      <c r="B2" s="73" t="s">
        <v>881</v>
      </c>
      <c r="C2" s="237"/>
      <c r="D2" s="237"/>
      <c r="E2" s="237"/>
      <c r="F2" s="237"/>
      <c r="G2" s="35"/>
      <c r="H2" s="35"/>
      <c r="I2" s="35"/>
    </row>
    <row r="3" spans="2:10" ht="12" customHeight="1">
      <c r="B3" s="69"/>
      <c r="C3" s="237"/>
      <c r="D3" s="237"/>
      <c r="E3" s="237"/>
      <c r="F3" s="237"/>
      <c r="G3" s="35"/>
      <c r="H3" s="35"/>
      <c r="I3" s="35"/>
    </row>
    <row r="4" spans="2:10" ht="11.25" customHeight="1">
      <c r="B4" s="256"/>
      <c r="C4" s="257"/>
      <c r="D4" s="257"/>
      <c r="E4" s="257"/>
      <c r="F4" s="257"/>
      <c r="G4" s="257"/>
    </row>
    <row r="5" spans="2:10" ht="25.5" customHeight="1">
      <c r="B5" s="229" t="s">
        <v>771</v>
      </c>
      <c r="C5" s="229"/>
      <c r="D5" s="230"/>
      <c r="E5" s="230"/>
      <c r="F5" s="230"/>
      <c r="G5" s="34"/>
    </row>
    <row r="6" spans="2:10">
      <c r="B6" s="34"/>
      <c r="C6" s="34"/>
      <c r="D6" s="261" t="s">
        <v>0</v>
      </c>
      <c r="E6" s="261"/>
      <c r="F6" s="261"/>
      <c r="G6" s="34"/>
    </row>
    <row r="7" spans="2:10">
      <c r="B7" s="231" t="s">
        <v>1</v>
      </c>
      <c r="C7" s="233" t="s">
        <v>4</v>
      </c>
      <c r="D7" s="225" t="s">
        <v>344</v>
      </c>
      <c r="E7" s="214" t="s">
        <v>419</v>
      </c>
      <c r="F7" s="214" t="s">
        <v>643</v>
      </c>
      <c r="G7" s="258"/>
      <c r="H7" s="259"/>
      <c r="I7" s="259"/>
      <c r="J7" s="259"/>
    </row>
    <row r="8" spans="2:10">
      <c r="B8" s="232"/>
      <c r="C8" s="234"/>
      <c r="D8" s="260"/>
      <c r="E8" s="215"/>
      <c r="F8" s="215"/>
      <c r="G8" s="39"/>
      <c r="H8" s="40"/>
      <c r="I8" s="40"/>
      <c r="J8" s="40"/>
    </row>
    <row r="9" spans="2:10"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</row>
    <row r="10" spans="2:10" s="6" customFormat="1" ht="25.5">
      <c r="B10" s="74" t="s">
        <v>817</v>
      </c>
      <c r="C10" s="11" t="s">
        <v>701</v>
      </c>
      <c r="D10" s="115">
        <f>D11</f>
        <v>4</v>
      </c>
      <c r="E10" s="115">
        <f>E11</f>
        <v>4</v>
      </c>
      <c r="F10" s="115">
        <f>F11</f>
        <v>1</v>
      </c>
    </row>
    <row r="11" spans="2:10">
      <c r="B11" s="62" t="s">
        <v>243</v>
      </c>
      <c r="C11" s="50" t="s">
        <v>479</v>
      </c>
      <c r="D11" s="116">
        <f>Ведомственная!G120</f>
        <v>4</v>
      </c>
      <c r="E11" s="116">
        <f>Ведомственная!H120</f>
        <v>4</v>
      </c>
      <c r="F11" s="116">
        <f>Ведомственная!I120</f>
        <v>1</v>
      </c>
    </row>
    <row r="12" spans="2:10" s="6" customFormat="1" ht="38.25">
      <c r="B12" s="96" t="s">
        <v>825</v>
      </c>
      <c r="C12" s="11" t="s">
        <v>152</v>
      </c>
      <c r="D12" s="115">
        <f>SUM(D13:D17)</f>
        <v>35</v>
      </c>
      <c r="E12" s="115">
        <f t="shared" ref="E12:F12" si="0">SUM(E13:E17)</f>
        <v>28.5</v>
      </c>
      <c r="F12" s="115" t="e">
        <f t="shared" si="0"/>
        <v>#DIV/0!</v>
      </c>
    </row>
    <row r="13" spans="2:10">
      <c r="B13" s="97" t="s">
        <v>235</v>
      </c>
      <c r="C13" s="50" t="s">
        <v>238</v>
      </c>
      <c r="D13" s="116">
        <f>Ведомственная!G98</f>
        <v>0</v>
      </c>
      <c r="E13" s="116">
        <f>Ведомственная!H98</f>
        <v>0</v>
      </c>
      <c r="F13" s="116" t="e">
        <f>Ведомственная!I98</f>
        <v>#DIV/0!</v>
      </c>
    </row>
    <row r="14" spans="2:10">
      <c r="B14" s="97" t="s">
        <v>697</v>
      </c>
      <c r="C14" s="50" t="s">
        <v>695</v>
      </c>
      <c r="D14" s="116">
        <f>Ведомственная!G99</f>
        <v>10</v>
      </c>
      <c r="E14" s="116">
        <f>Ведомственная!H99</f>
        <v>8.4</v>
      </c>
      <c r="F14" s="116">
        <f>Ведомственная!I99</f>
        <v>0.84000000000000008</v>
      </c>
    </row>
    <row r="15" spans="2:10">
      <c r="B15" s="97" t="s">
        <v>236</v>
      </c>
      <c r="C15" s="50" t="s">
        <v>239</v>
      </c>
      <c r="D15" s="116">
        <f>Ведомственная!G100</f>
        <v>20</v>
      </c>
      <c r="E15" s="116">
        <f>Ведомственная!H100</f>
        <v>15.1</v>
      </c>
      <c r="F15" s="116">
        <f>Ведомственная!I100</f>
        <v>0.755</v>
      </c>
    </row>
    <row r="16" spans="2:10">
      <c r="B16" s="97" t="s">
        <v>237</v>
      </c>
      <c r="C16" s="50" t="s">
        <v>240</v>
      </c>
      <c r="D16" s="116">
        <f>Ведомственная!G101</f>
        <v>5</v>
      </c>
      <c r="E16" s="116">
        <f>Ведомственная!H101</f>
        <v>5</v>
      </c>
      <c r="F16" s="116">
        <f>Ведомственная!I101</f>
        <v>1</v>
      </c>
    </row>
    <row r="17" spans="2:6">
      <c r="B17" s="97" t="s">
        <v>698</v>
      </c>
      <c r="C17" s="50" t="s">
        <v>696</v>
      </c>
      <c r="D17" s="116">
        <f>Ведомственная!G102</f>
        <v>0</v>
      </c>
      <c r="E17" s="116">
        <f>Ведомственная!H102</f>
        <v>0</v>
      </c>
      <c r="F17" s="116" t="e">
        <f>Ведомственная!I102</f>
        <v>#DIV/0!</v>
      </c>
    </row>
    <row r="18" spans="2:6" s="6" customFormat="1" ht="25.5">
      <c r="B18" s="74" t="s">
        <v>818</v>
      </c>
      <c r="C18" s="11" t="s">
        <v>155</v>
      </c>
      <c r="D18" s="115">
        <f>SUM(D19:D24)</f>
        <v>165.3</v>
      </c>
      <c r="E18" s="115">
        <f t="shared" ref="E18:F18" si="1">SUM(E19:E24)</f>
        <v>148</v>
      </c>
      <c r="F18" s="115" t="e">
        <f t="shared" si="1"/>
        <v>#DIV/0!</v>
      </c>
    </row>
    <row r="19" spans="2:6">
      <c r="B19" s="62" t="s">
        <v>459</v>
      </c>
      <c r="C19" s="50" t="s">
        <v>241</v>
      </c>
      <c r="D19" s="116">
        <f>Ведомственная!G109</f>
        <v>22.3</v>
      </c>
      <c r="E19" s="116">
        <f>Ведомственная!H109</f>
        <v>11</v>
      </c>
      <c r="F19" s="116">
        <f>Ведомственная!I109</f>
        <v>0.49327354260089684</v>
      </c>
    </row>
    <row r="20" spans="2:6">
      <c r="B20" s="62" t="s">
        <v>460</v>
      </c>
      <c r="C20" s="50" t="s">
        <v>242</v>
      </c>
      <c r="D20" s="116">
        <f>Ведомственная!G110</f>
        <v>110</v>
      </c>
      <c r="E20" s="116">
        <f>Ведомственная!H110</f>
        <v>110</v>
      </c>
      <c r="F20" s="116">
        <f>Ведомственная!I110</f>
        <v>1</v>
      </c>
    </row>
    <row r="21" spans="2:6">
      <c r="B21" s="62" t="s">
        <v>461</v>
      </c>
      <c r="C21" s="50" t="s">
        <v>475</v>
      </c>
      <c r="D21" s="116">
        <f>Ведомственная!G111</f>
        <v>0</v>
      </c>
      <c r="E21" s="116">
        <f>Ведомственная!H111</f>
        <v>0</v>
      </c>
      <c r="F21" s="116">
        <f>Ведомственная!I111</f>
        <v>0</v>
      </c>
    </row>
    <row r="22" spans="2:6">
      <c r="B22" s="62" t="s">
        <v>462</v>
      </c>
      <c r="C22" s="50" t="s">
        <v>476</v>
      </c>
      <c r="D22" s="116">
        <f>Ведомственная!G112</f>
        <v>0</v>
      </c>
      <c r="E22" s="116">
        <f>Ведомственная!H112</f>
        <v>0</v>
      </c>
      <c r="F22" s="116">
        <f>Ведомственная!I112</f>
        <v>0</v>
      </c>
    </row>
    <row r="23" spans="2:6">
      <c r="B23" s="62" t="s">
        <v>463</v>
      </c>
      <c r="C23" s="50" t="s">
        <v>477</v>
      </c>
      <c r="D23" s="116">
        <f>Ведомственная!G113</f>
        <v>33</v>
      </c>
      <c r="E23" s="116">
        <f>Ведомственная!H113</f>
        <v>27</v>
      </c>
      <c r="F23" s="116">
        <f>Ведомственная!I113</f>
        <v>0.81818181818181823</v>
      </c>
    </row>
    <row r="24" spans="2:6">
      <c r="B24" s="62" t="s">
        <v>464</v>
      </c>
      <c r="C24" s="50" t="s">
        <v>478</v>
      </c>
      <c r="D24" s="116">
        <f>Ведомственная!G114</f>
        <v>0</v>
      </c>
      <c r="E24" s="116">
        <f>Ведомственная!H114</f>
        <v>0</v>
      </c>
      <c r="F24" s="116" t="e">
        <f>Ведомственная!I114</f>
        <v>#DIV/0!</v>
      </c>
    </row>
    <row r="25" spans="2:6" s="6" customFormat="1" ht="25.5">
      <c r="B25" s="74" t="s">
        <v>819</v>
      </c>
      <c r="C25" s="11" t="s">
        <v>157</v>
      </c>
      <c r="D25" s="115">
        <f>SUM(D26:D28)</f>
        <v>6</v>
      </c>
      <c r="E25" s="115">
        <f t="shared" ref="E25:F25" si="2">SUM(E26:E28)</f>
        <v>4</v>
      </c>
      <c r="F25" s="115" t="e">
        <f t="shared" si="2"/>
        <v>#DIV/0!</v>
      </c>
    </row>
    <row r="26" spans="2:6">
      <c r="B26" s="62" t="s">
        <v>237</v>
      </c>
      <c r="C26" s="50" t="s">
        <v>244</v>
      </c>
      <c r="D26" s="116">
        <f>Ведомственная!G123</f>
        <v>4</v>
      </c>
      <c r="E26" s="116">
        <f>Ведомственная!H123</f>
        <v>4</v>
      </c>
      <c r="F26" s="116">
        <f>Ведомственная!I123</f>
        <v>1</v>
      </c>
    </row>
    <row r="27" spans="2:6">
      <c r="B27" s="62" t="s">
        <v>469</v>
      </c>
      <c r="C27" s="50" t="s">
        <v>245</v>
      </c>
      <c r="D27" s="116">
        <f>Ведомственная!G124</f>
        <v>0</v>
      </c>
      <c r="E27" s="116">
        <f>Ведомственная!H124</f>
        <v>0</v>
      </c>
      <c r="F27" s="116" t="e">
        <f>Ведомственная!I124</f>
        <v>#DIV/0!</v>
      </c>
    </row>
    <row r="28" spans="2:6" ht="14.25" customHeight="1">
      <c r="B28" s="62" t="s">
        <v>470</v>
      </c>
      <c r="C28" s="50" t="s">
        <v>246</v>
      </c>
      <c r="D28" s="116">
        <f>Ведомственная!G125</f>
        <v>2</v>
      </c>
      <c r="E28" s="116">
        <f>Ведомственная!H125</f>
        <v>0</v>
      </c>
      <c r="F28" s="116">
        <f>Ведомственная!I125</f>
        <v>0</v>
      </c>
    </row>
    <row r="29" spans="2:6" s="6" customFormat="1" ht="25.5">
      <c r="B29" s="74" t="s">
        <v>441</v>
      </c>
      <c r="C29" s="11" t="s">
        <v>399</v>
      </c>
      <c r="D29" s="115">
        <f>SUM(D30:D32)</f>
        <v>11</v>
      </c>
      <c r="E29" s="115">
        <f t="shared" ref="E29:F29" si="3">SUM(E30:E32)</f>
        <v>9.5</v>
      </c>
      <c r="F29" s="115" t="e">
        <f t="shared" si="3"/>
        <v>#DIV/0!</v>
      </c>
    </row>
    <row r="30" spans="2:6">
      <c r="B30" s="62" t="s">
        <v>450</v>
      </c>
      <c r="C30" s="50" t="s">
        <v>480</v>
      </c>
      <c r="D30" s="116">
        <f>Ведомственная!G261</f>
        <v>10</v>
      </c>
      <c r="E30" s="116">
        <f>Ведомственная!H261</f>
        <v>9.5</v>
      </c>
      <c r="F30" s="116">
        <f>Ведомственная!I261</f>
        <v>0.95</v>
      </c>
    </row>
    <row r="31" spans="2:6" ht="25.5">
      <c r="B31" s="62" t="s">
        <v>754</v>
      </c>
      <c r="C31" s="50" t="s">
        <v>481</v>
      </c>
      <c r="D31" s="116">
        <f>Ведомственная!G262</f>
        <v>1</v>
      </c>
      <c r="E31" s="116">
        <f>Ведомственная!H262</f>
        <v>0</v>
      </c>
      <c r="F31" s="116">
        <f>Ведомственная!I262</f>
        <v>0</v>
      </c>
    </row>
    <row r="32" spans="2:6">
      <c r="B32" s="62" t="s">
        <v>451</v>
      </c>
      <c r="C32" s="50" t="s">
        <v>482</v>
      </c>
      <c r="D32" s="116">
        <f>Ведомственная!G263</f>
        <v>0</v>
      </c>
      <c r="E32" s="116">
        <f>Ведомственная!H263</f>
        <v>0</v>
      </c>
      <c r="F32" s="116" t="e">
        <f>Ведомственная!I263</f>
        <v>#DIV/0!</v>
      </c>
    </row>
    <row r="33" spans="2:6" s="6" customFormat="1" ht="25.5">
      <c r="B33" s="74" t="s">
        <v>439</v>
      </c>
      <c r="C33" s="11" t="s">
        <v>146</v>
      </c>
      <c r="D33" s="115">
        <f>SUM(D34:D38)</f>
        <v>116.5</v>
      </c>
      <c r="E33" s="115">
        <f t="shared" ref="E33:F33" si="4">SUM(E34:E38)</f>
        <v>89.8</v>
      </c>
      <c r="F33" s="115" t="e">
        <f t="shared" si="4"/>
        <v>#DIV/0!</v>
      </c>
    </row>
    <row r="34" spans="2:6">
      <c r="B34" s="62" t="s">
        <v>458</v>
      </c>
      <c r="C34" s="50" t="s">
        <v>247</v>
      </c>
      <c r="D34" s="116">
        <f>Ведомственная!G167</f>
        <v>0</v>
      </c>
      <c r="E34" s="116">
        <f>Ведомственная!H167</f>
        <v>0</v>
      </c>
      <c r="F34" s="116" t="e">
        <f>Ведомственная!I167</f>
        <v>#DIV/0!</v>
      </c>
    </row>
    <row r="35" spans="2:6">
      <c r="B35" s="62" t="s">
        <v>287</v>
      </c>
      <c r="C35" s="50" t="s">
        <v>290</v>
      </c>
      <c r="D35" s="116">
        <f>Ведомственная!G168</f>
        <v>2.5</v>
      </c>
      <c r="E35" s="116">
        <f>Ведомственная!H168</f>
        <v>2.5</v>
      </c>
      <c r="F35" s="116">
        <f>Ведомственная!I168</f>
        <v>1</v>
      </c>
    </row>
    <row r="36" spans="2:6">
      <c r="B36" s="62" t="s">
        <v>286</v>
      </c>
      <c r="C36" s="50" t="s">
        <v>291</v>
      </c>
      <c r="D36" s="116">
        <f>Ведомственная!G169</f>
        <v>75</v>
      </c>
      <c r="E36" s="116">
        <f>Ведомственная!H169</f>
        <v>75</v>
      </c>
      <c r="F36" s="116">
        <f>Ведомственная!I169</f>
        <v>1</v>
      </c>
    </row>
    <row r="37" spans="2:6">
      <c r="B37" s="62" t="s">
        <v>288</v>
      </c>
      <c r="C37" s="50" t="s">
        <v>292</v>
      </c>
      <c r="D37" s="116">
        <f>Ведомственная!G170</f>
        <v>39</v>
      </c>
      <c r="E37" s="116">
        <f>Ведомственная!H170</f>
        <v>12.3</v>
      </c>
      <c r="F37" s="116">
        <f>Ведомственная!I170</f>
        <v>0.31538461538461543</v>
      </c>
    </row>
    <row r="38" spans="2:6">
      <c r="B38" s="62" t="s">
        <v>289</v>
      </c>
      <c r="C38" s="50" t="s">
        <v>474</v>
      </c>
      <c r="D38" s="116">
        <f>Ведомственная!G171</f>
        <v>0</v>
      </c>
      <c r="E38" s="116">
        <f>Ведомственная!H171</f>
        <v>0</v>
      </c>
      <c r="F38" s="116" t="e">
        <f>Ведомственная!I171</f>
        <v>#DIV/0!</v>
      </c>
    </row>
    <row r="39" spans="2:6" s="6" customFormat="1" ht="27.75" customHeight="1">
      <c r="B39" s="104" t="s">
        <v>757</v>
      </c>
      <c r="C39" s="11" t="s">
        <v>198</v>
      </c>
      <c r="D39" s="115">
        <f>D40+D41+D42</f>
        <v>281.39999999999998</v>
      </c>
      <c r="E39" s="115">
        <f t="shared" ref="E39:F39" si="5">E40+E41+E42</f>
        <v>57.7</v>
      </c>
      <c r="F39" s="115">
        <f t="shared" si="5"/>
        <v>0.60736961451247162</v>
      </c>
    </row>
    <row r="40" spans="2:6">
      <c r="B40" s="105" t="s">
        <v>758</v>
      </c>
      <c r="C40" s="50" t="s">
        <v>248</v>
      </c>
      <c r="D40" s="116">
        <f>Ведомственная!G398</f>
        <v>176.4</v>
      </c>
      <c r="E40" s="116">
        <f>Ведомственная!H398</f>
        <v>6.2</v>
      </c>
      <c r="F40" s="116">
        <f>Ведомственная!I398</f>
        <v>3.5147392290249435E-2</v>
      </c>
    </row>
    <row r="41" spans="2:6">
      <c r="B41" s="105" t="s">
        <v>759</v>
      </c>
      <c r="C41" s="50" t="s">
        <v>435</v>
      </c>
      <c r="D41" s="116">
        <f>Ведомственная!G399</f>
        <v>90</v>
      </c>
      <c r="E41" s="116">
        <f>Ведомственная!H399</f>
        <v>51.5</v>
      </c>
      <c r="F41" s="116">
        <f>Ведомственная!I399</f>
        <v>0.57222222222222219</v>
      </c>
    </row>
    <row r="42" spans="2:6">
      <c r="B42" s="105" t="s">
        <v>760</v>
      </c>
      <c r="C42" s="50" t="s">
        <v>436</v>
      </c>
      <c r="D42" s="116">
        <f>Ведомственная!G400</f>
        <v>15</v>
      </c>
      <c r="E42" s="116">
        <f>Ведомственная!H400</f>
        <v>0</v>
      </c>
      <c r="F42" s="116">
        <f>Ведомственная!I400</f>
        <v>0</v>
      </c>
    </row>
    <row r="43" spans="2:6" s="6" customFormat="1" ht="33" customHeight="1">
      <c r="B43" s="104" t="s">
        <v>761</v>
      </c>
      <c r="C43" s="11" t="s">
        <v>161</v>
      </c>
      <c r="D43" s="115">
        <f>D44</f>
        <v>15</v>
      </c>
      <c r="E43" s="115">
        <f t="shared" ref="E43:F43" si="6">E44</f>
        <v>14.4</v>
      </c>
      <c r="F43" s="115">
        <f t="shared" si="6"/>
        <v>0.96000000000000008</v>
      </c>
    </row>
    <row r="44" spans="2:6">
      <c r="B44" s="62" t="s">
        <v>249</v>
      </c>
      <c r="C44" s="50" t="s">
        <v>250</v>
      </c>
      <c r="D44" s="116">
        <f>Ведомственная!G403</f>
        <v>15</v>
      </c>
      <c r="E44" s="116">
        <f>Ведомственная!H403</f>
        <v>14.4</v>
      </c>
      <c r="F44" s="116">
        <f>Ведомственная!I403</f>
        <v>0.96000000000000008</v>
      </c>
    </row>
    <row r="45" spans="2:6" ht="25.5">
      <c r="B45" s="131" t="s">
        <v>770</v>
      </c>
      <c r="C45" s="11" t="s">
        <v>162</v>
      </c>
      <c r="D45" s="115">
        <f>D46+D47</f>
        <v>111</v>
      </c>
      <c r="E45" s="115">
        <f t="shared" ref="E45:F45" si="7">E46+E47</f>
        <v>109.1</v>
      </c>
      <c r="F45" s="115">
        <f t="shared" si="7"/>
        <v>1.968013468013468</v>
      </c>
    </row>
    <row r="46" spans="2:6" ht="25.5">
      <c r="B46" s="103" t="s">
        <v>251</v>
      </c>
      <c r="C46" s="50" t="s">
        <v>253</v>
      </c>
      <c r="D46" s="116">
        <f>Ведомственная!G737</f>
        <v>59.4</v>
      </c>
      <c r="E46" s="116">
        <f>Ведомственная!H737</f>
        <v>57.5</v>
      </c>
      <c r="F46" s="116">
        <f>Ведомственная!I737</f>
        <v>0.96801346801346799</v>
      </c>
    </row>
    <row r="47" spans="2:6">
      <c r="B47" s="103" t="s">
        <v>252</v>
      </c>
      <c r="C47" s="50" t="s">
        <v>254</v>
      </c>
      <c r="D47" s="116">
        <f>Ведомственная!G738</f>
        <v>51.6</v>
      </c>
      <c r="E47" s="116">
        <f>Ведомственная!H738</f>
        <v>51.6</v>
      </c>
      <c r="F47" s="116">
        <f>Ведомственная!I738</f>
        <v>1</v>
      </c>
    </row>
    <row r="48" spans="2:6" s="6" customFormat="1" ht="33.75" customHeight="1">
      <c r="B48" s="139" t="s">
        <v>494</v>
      </c>
      <c r="C48" s="11" t="s">
        <v>164</v>
      </c>
      <c r="D48" s="115">
        <f>D49</f>
        <v>887</v>
      </c>
      <c r="E48" s="115">
        <f t="shared" ref="E48:F48" si="8">E49</f>
        <v>882</v>
      </c>
      <c r="F48" s="115">
        <f t="shared" si="8"/>
        <v>0.99436302142051858</v>
      </c>
    </row>
    <row r="49" spans="2:6">
      <c r="B49" s="62" t="s">
        <v>590</v>
      </c>
      <c r="C49" s="50" t="s">
        <v>255</v>
      </c>
      <c r="D49" s="116">
        <f>Ведомственная!G468</f>
        <v>887</v>
      </c>
      <c r="E49" s="116">
        <f>Ведомственная!H468</f>
        <v>882</v>
      </c>
      <c r="F49" s="116">
        <f>Ведомственная!I468</f>
        <v>0.99436302142051858</v>
      </c>
    </row>
    <row r="50" spans="2:6" s="6" customFormat="1" ht="25.5">
      <c r="B50" s="104" t="s">
        <v>769</v>
      </c>
      <c r="C50" s="11" t="s">
        <v>166</v>
      </c>
      <c r="D50" s="115">
        <f>D51+D52+D53+D54+D55+D56</f>
        <v>3193.7</v>
      </c>
      <c r="E50" s="176">
        <f t="shared" ref="E50:F50" si="9">E51+E52+E53+E54+E55</f>
        <v>2289.4</v>
      </c>
      <c r="F50" s="176">
        <f t="shared" si="9"/>
        <v>1.5540677546983184</v>
      </c>
    </row>
    <row r="51" spans="2:6" ht="25.5">
      <c r="B51" s="62" t="s">
        <v>320</v>
      </c>
      <c r="C51" s="50" t="s">
        <v>301</v>
      </c>
      <c r="D51" s="116">
        <f>Ведомственная!G474</f>
        <v>539.20000000000005</v>
      </c>
      <c r="E51" s="116">
        <f>Ведомственная!H474</f>
        <v>199.9</v>
      </c>
      <c r="F51" s="116">
        <f>Ведомственная!I474</f>
        <v>0.37073442136498513</v>
      </c>
    </row>
    <row r="52" spans="2:6">
      <c r="B52" s="62" t="s">
        <v>308</v>
      </c>
      <c r="C52" s="50" t="s">
        <v>303</v>
      </c>
      <c r="D52" s="116">
        <f>Ведомственная!G477</f>
        <v>30</v>
      </c>
      <c r="E52" s="116">
        <f>Ведомственная!H477</f>
        <v>0</v>
      </c>
      <c r="F52" s="116">
        <f>Ведомственная!I477</f>
        <v>0</v>
      </c>
    </row>
    <row r="53" spans="2:6">
      <c r="B53" s="62" t="s">
        <v>302</v>
      </c>
      <c r="C53" s="50" t="s">
        <v>304</v>
      </c>
      <c r="D53" s="116">
        <f>Ведомственная!G479</f>
        <v>30</v>
      </c>
      <c r="E53" s="116">
        <f>Ведомственная!H479</f>
        <v>5.5</v>
      </c>
      <c r="F53" s="116">
        <f>Ведомственная!I479</f>
        <v>0.18333333333333332</v>
      </c>
    </row>
    <row r="54" spans="2:6" ht="25.5">
      <c r="B54" s="15" t="s">
        <v>849</v>
      </c>
      <c r="C54" s="50" t="s">
        <v>856</v>
      </c>
      <c r="D54" s="166">
        <f>Ведомственная!G481</f>
        <v>110</v>
      </c>
      <c r="E54" s="166">
        <f>Ведомственная!H481</f>
        <v>0</v>
      </c>
      <c r="F54" s="166">
        <f>Ведомственная!I481</f>
        <v>0</v>
      </c>
    </row>
    <row r="55" spans="2:6">
      <c r="B55" s="15" t="s">
        <v>850</v>
      </c>
      <c r="C55" s="50" t="s">
        <v>857</v>
      </c>
      <c r="D55" s="166">
        <f>Ведомственная!G483</f>
        <v>2084</v>
      </c>
      <c r="E55" s="166">
        <f>Ведомственная!H483</f>
        <v>2084</v>
      </c>
      <c r="F55" s="166">
        <f>Ведомственная!I483</f>
        <v>1</v>
      </c>
    </row>
    <row r="56" spans="2:6" ht="25.5">
      <c r="B56" s="62" t="s">
        <v>915</v>
      </c>
      <c r="C56" s="50" t="s">
        <v>917</v>
      </c>
      <c r="D56" s="194">
        <f>Ведомственная!G488</f>
        <v>400.5</v>
      </c>
      <c r="E56" s="194">
        <f>Ведомственная!H488</f>
        <v>400</v>
      </c>
      <c r="F56" s="194">
        <f>Ведомственная!I488</f>
        <v>0.99875156054931336</v>
      </c>
    </row>
    <row r="57" spans="2:6" s="6" customFormat="1" ht="25.5">
      <c r="B57" s="104" t="s">
        <v>826</v>
      </c>
      <c r="C57" s="11" t="s">
        <v>763</v>
      </c>
      <c r="D57" s="188">
        <f>D59+D60+D58+D61</f>
        <v>2898.6000000000004</v>
      </c>
      <c r="E57" s="188">
        <f t="shared" ref="E57:F57" si="10">E59+E60</f>
        <v>2875.3</v>
      </c>
      <c r="F57" s="188">
        <f t="shared" si="10"/>
        <v>2</v>
      </c>
    </row>
    <row r="58" spans="2:6" s="161" customFormat="1" ht="38.25">
      <c r="B58" s="105" t="s">
        <v>911</v>
      </c>
      <c r="C58" s="50" t="s">
        <v>905</v>
      </c>
      <c r="D58" s="189">
        <f>Ведомственная!G407</f>
        <v>0</v>
      </c>
      <c r="E58" s="193">
        <f>Ведомственная!H407</f>
        <v>0</v>
      </c>
      <c r="F58" s="193" t="e">
        <f>Ведомственная!I407</f>
        <v>#DIV/0!</v>
      </c>
    </row>
    <row r="59" spans="2:6">
      <c r="B59" s="105" t="s">
        <v>767</v>
      </c>
      <c r="C59" s="50" t="s">
        <v>764</v>
      </c>
      <c r="D59" s="189">
        <f>Ведомственная!G410+Ведомственная!G411+Ведомственная!G412</f>
        <v>2775.3</v>
      </c>
      <c r="E59" s="189">
        <f>Ведомственная!H409</f>
        <v>2825.3</v>
      </c>
      <c r="F59" s="189">
        <f>Ведомственная!I409</f>
        <v>1</v>
      </c>
    </row>
    <row r="60" spans="2:6" ht="25.5">
      <c r="B60" s="105" t="s">
        <v>893</v>
      </c>
      <c r="C60" s="50" t="s">
        <v>895</v>
      </c>
      <c r="D60" s="189">
        <f>Ведомственная!G413</f>
        <v>50</v>
      </c>
      <c r="E60" s="189">
        <f>Ведомственная!H413</f>
        <v>50</v>
      </c>
      <c r="F60" s="189">
        <f>Ведомственная!I413</f>
        <v>1</v>
      </c>
    </row>
    <row r="61" spans="2:6">
      <c r="B61" s="105" t="s">
        <v>910</v>
      </c>
      <c r="C61" s="50" t="s">
        <v>908</v>
      </c>
      <c r="D61" s="193">
        <f>Ведомственная!G414</f>
        <v>73.3</v>
      </c>
      <c r="E61" s="193">
        <f>Ведомственная!H414</f>
        <v>0</v>
      </c>
      <c r="F61" s="193">
        <f>Ведомственная!I414</f>
        <v>0</v>
      </c>
    </row>
    <row r="62" spans="2:6" s="6" customFormat="1" ht="25.5">
      <c r="B62" s="74" t="s">
        <v>438</v>
      </c>
      <c r="C62" s="11" t="s">
        <v>159</v>
      </c>
      <c r="D62" s="115">
        <f>D63</f>
        <v>4.5</v>
      </c>
      <c r="E62" s="115">
        <f>E63</f>
        <v>4.5</v>
      </c>
      <c r="F62" s="115">
        <f>F63</f>
        <v>1</v>
      </c>
    </row>
    <row r="63" spans="2:6">
      <c r="B63" s="62" t="s">
        <v>256</v>
      </c>
      <c r="C63" s="50" t="s">
        <v>257</v>
      </c>
      <c r="D63" s="116">
        <f>Ведомственная!G128</f>
        <v>4.5</v>
      </c>
      <c r="E63" s="116">
        <f>Ведомственная!H128</f>
        <v>4.5</v>
      </c>
      <c r="F63" s="116">
        <f>Ведомственная!I128</f>
        <v>1</v>
      </c>
    </row>
    <row r="64" spans="2:6" s="6" customFormat="1" ht="33" customHeight="1">
      <c r="B64" s="99" t="s">
        <v>440</v>
      </c>
      <c r="C64" s="11" t="s">
        <v>299</v>
      </c>
      <c r="D64" s="115">
        <f>D65</f>
        <v>7.5</v>
      </c>
      <c r="E64" s="115">
        <f t="shared" ref="E64:F64" si="11">E65</f>
        <v>0.6</v>
      </c>
      <c r="F64" s="115">
        <f t="shared" si="11"/>
        <v>0.08</v>
      </c>
    </row>
    <row r="65" spans="2:9" ht="17.25" customHeight="1">
      <c r="B65" s="100" t="s">
        <v>449</v>
      </c>
      <c r="C65" s="50" t="s">
        <v>300</v>
      </c>
      <c r="D65" s="116">
        <f>Ведомственная!G174</f>
        <v>7.5</v>
      </c>
      <c r="E65" s="116">
        <f>Ведомственная!H174</f>
        <v>0.6</v>
      </c>
      <c r="F65" s="116">
        <f>Ведомственная!I174</f>
        <v>0.08</v>
      </c>
    </row>
    <row r="66" spans="2:9" s="6" customFormat="1" ht="25.5">
      <c r="B66" s="74" t="s">
        <v>897</v>
      </c>
      <c r="C66" s="11" t="s">
        <v>446</v>
      </c>
      <c r="D66" s="115">
        <f>SUM(D67:D76)</f>
        <v>68742.8</v>
      </c>
      <c r="E66" s="186">
        <f t="shared" ref="E66:F66" si="12">SUM(E67:E76)</f>
        <v>68456.800000000003</v>
      </c>
      <c r="F66" s="186" t="e">
        <f t="shared" si="12"/>
        <v>#DIV/0!</v>
      </c>
      <c r="G66" s="24"/>
      <c r="H66" s="24"/>
      <c r="I66" s="24"/>
    </row>
    <row r="67" spans="2:9" ht="25.5">
      <c r="B67" s="62" t="s">
        <v>726</v>
      </c>
      <c r="C67" s="50" t="s">
        <v>472</v>
      </c>
      <c r="D67" s="116">
        <f>Ведомственная!G192</f>
        <v>1</v>
      </c>
      <c r="E67" s="116">
        <f>Ведомственная!H192</f>
        <v>0</v>
      </c>
      <c r="F67" s="116">
        <f>Ведомственная!I192</f>
        <v>0</v>
      </c>
      <c r="G67" s="25"/>
      <c r="H67" s="25"/>
      <c r="I67" s="25"/>
    </row>
    <row r="68" spans="2:9" ht="25.5">
      <c r="B68" s="62" t="s">
        <v>727</v>
      </c>
      <c r="C68" s="50" t="s">
        <v>473</v>
      </c>
      <c r="D68" s="116">
        <f>Ведомственная!G193</f>
        <v>1</v>
      </c>
      <c r="E68" s="116">
        <f>Ведомственная!H193</f>
        <v>0</v>
      </c>
      <c r="F68" s="116">
        <f>Ведомственная!I193</f>
        <v>0</v>
      </c>
      <c r="G68" s="25"/>
      <c r="H68" s="25"/>
      <c r="I68" s="25"/>
    </row>
    <row r="69" spans="2:9">
      <c r="B69" s="15" t="s">
        <v>923</v>
      </c>
      <c r="C69" s="50" t="s">
        <v>619</v>
      </c>
      <c r="D69" s="116">
        <f>Ведомственная!G195</f>
        <v>1</v>
      </c>
      <c r="E69" s="195">
        <f>Ведомственная!H195</f>
        <v>0</v>
      </c>
      <c r="F69" s="195">
        <f>Ведомственная!I195</f>
        <v>0</v>
      </c>
      <c r="G69" s="25"/>
      <c r="H69" s="25"/>
      <c r="I69" s="25"/>
    </row>
    <row r="70" spans="2:9">
      <c r="B70" s="15" t="s">
        <v>923</v>
      </c>
      <c r="C70" s="50" t="s">
        <v>937</v>
      </c>
      <c r="D70" s="199">
        <f>Ведомственная!G196+Ведомственная!G197</f>
        <v>65808.800000000003</v>
      </c>
      <c r="E70" s="199">
        <f>Ведомственная!H196+Ведомственная!H197</f>
        <v>65808.800000000003</v>
      </c>
      <c r="F70" s="199">
        <f>Ведомственная!I196+Ведомственная!I197</f>
        <v>2</v>
      </c>
      <c r="G70" s="25"/>
      <c r="H70" s="25"/>
      <c r="I70" s="25"/>
    </row>
    <row r="71" spans="2:9" ht="16.5" customHeight="1">
      <c r="B71" s="62" t="s">
        <v>728</v>
      </c>
      <c r="C71" s="50" t="s">
        <v>688</v>
      </c>
      <c r="D71" s="116">
        <f>Ведомственная!G198</f>
        <v>0</v>
      </c>
      <c r="E71" s="195">
        <f>Ведомственная!H198</f>
        <v>0</v>
      </c>
      <c r="F71" s="195" t="e">
        <f>Ведомственная!I198</f>
        <v>#DIV/0!</v>
      </c>
      <c r="G71" s="25"/>
      <c r="H71" s="25"/>
      <c r="I71" s="25"/>
    </row>
    <row r="72" spans="2:9" ht="16.5" customHeight="1">
      <c r="B72" s="62" t="s">
        <v>729</v>
      </c>
      <c r="C72" s="50" t="s">
        <v>687</v>
      </c>
      <c r="D72" s="116">
        <f>Ведомственная!G198</f>
        <v>0</v>
      </c>
      <c r="E72" s="152">
        <f>Ведомственная!H199</f>
        <v>0</v>
      </c>
      <c r="F72" s="116" t="e">
        <f>Ведомственная!I198</f>
        <v>#DIV/0!</v>
      </c>
      <c r="G72" s="25"/>
      <c r="H72" s="25"/>
      <c r="I72" s="25"/>
    </row>
    <row r="73" spans="2:9" ht="16.5" customHeight="1">
      <c r="B73" s="62" t="s">
        <v>730</v>
      </c>
      <c r="C73" s="50" t="s">
        <v>686</v>
      </c>
      <c r="D73" s="196">
        <f>Ведомственная!G199</f>
        <v>0</v>
      </c>
      <c r="E73" s="152">
        <f>Ведомственная!H200</f>
        <v>0</v>
      </c>
      <c r="F73" s="116" t="e">
        <f>Ведомственная!I199</f>
        <v>#DIV/0!</v>
      </c>
      <c r="G73" s="25"/>
      <c r="H73" s="25"/>
      <c r="I73" s="25"/>
    </row>
    <row r="74" spans="2:9" ht="16.5" customHeight="1">
      <c r="B74" s="62" t="s">
        <v>875</v>
      </c>
      <c r="C74" s="50" t="s">
        <v>932</v>
      </c>
      <c r="D74" s="183">
        <f>Ведомственная!G201+Ведомственная!G202</f>
        <v>2331</v>
      </c>
      <c r="E74" s="185">
        <f>Ведомственная!H201+Ведомственная!H202</f>
        <v>2330</v>
      </c>
      <c r="F74" s="185">
        <f>Ведомственная!I201+Ведомственная!I202</f>
        <v>1.9957264957264957</v>
      </c>
      <c r="G74" s="25"/>
      <c r="H74" s="25"/>
      <c r="I74" s="25"/>
    </row>
    <row r="75" spans="2:9" ht="40.5" customHeight="1">
      <c r="B75" s="62" t="s">
        <v>898</v>
      </c>
      <c r="C75" s="50" t="s">
        <v>902</v>
      </c>
      <c r="D75" s="187">
        <f>Ведомственная!G203</f>
        <v>450</v>
      </c>
      <c r="E75" s="187">
        <f>Ведомственная!H203</f>
        <v>318</v>
      </c>
      <c r="F75" s="187">
        <f>Ведомственная!I203</f>
        <v>0.70666666666666667</v>
      </c>
      <c r="G75" s="25"/>
      <c r="H75" s="25"/>
      <c r="I75" s="25"/>
    </row>
    <row r="76" spans="2:9" ht="33.75" customHeight="1">
      <c r="B76" s="62" t="s">
        <v>899</v>
      </c>
      <c r="C76" s="50" t="s">
        <v>903</v>
      </c>
      <c r="D76" s="187">
        <f>Ведомственная!G204</f>
        <v>150</v>
      </c>
      <c r="E76" s="187">
        <f>Ведомственная!H204</f>
        <v>0</v>
      </c>
      <c r="F76" s="187">
        <f>Ведомственная!I204</f>
        <v>0</v>
      </c>
      <c r="G76" s="25"/>
      <c r="H76" s="25"/>
      <c r="I76" s="25"/>
    </row>
    <row r="77" spans="2:9" s="6" customFormat="1" ht="51">
      <c r="B77" s="98" t="s">
        <v>702</v>
      </c>
      <c r="C77" s="11" t="s">
        <v>258</v>
      </c>
      <c r="D77" s="115">
        <f>D78</f>
        <v>2302.4</v>
      </c>
      <c r="E77" s="115">
        <f t="shared" ref="E77:F77" si="13">E78</f>
        <v>2293.6999999999998</v>
      </c>
      <c r="F77" s="115">
        <f t="shared" si="13"/>
        <v>0.99622133425990256</v>
      </c>
    </row>
    <row r="78" spans="2:9" ht="25.5">
      <c r="B78" s="62" t="s">
        <v>259</v>
      </c>
      <c r="C78" s="50" t="s">
        <v>260</v>
      </c>
      <c r="D78" s="116">
        <f>Ведомственная!G140</f>
        <v>2302.4</v>
      </c>
      <c r="E78" s="116">
        <f>Ведомственная!H140</f>
        <v>2293.6999999999998</v>
      </c>
      <c r="F78" s="116">
        <f>Ведомственная!I140</f>
        <v>0.99622133425990256</v>
      </c>
    </row>
    <row r="79" spans="2:9" s="6" customFormat="1" ht="25.5">
      <c r="B79" s="74" t="s">
        <v>780</v>
      </c>
      <c r="C79" s="11" t="s">
        <v>283</v>
      </c>
      <c r="D79" s="115">
        <f>SUM(D80:D82)</f>
        <v>720</v>
      </c>
      <c r="E79" s="115">
        <f t="shared" ref="E79:F79" si="14">SUM(E80:E82)</f>
        <v>440.5</v>
      </c>
      <c r="F79" s="115">
        <f t="shared" si="14"/>
        <v>2.0977083333333333</v>
      </c>
    </row>
    <row r="80" spans="2:9">
      <c r="B80" s="62" t="s">
        <v>709</v>
      </c>
      <c r="C80" s="50" t="s">
        <v>261</v>
      </c>
      <c r="D80" s="116">
        <f>Ведомственная!G177</f>
        <v>200</v>
      </c>
      <c r="E80" s="116">
        <f>Ведомственная!H177</f>
        <v>194</v>
      </c>
      <c r="F80" s="116">
        <f>Ведомственная!I177</f>
        <v>0.97</v>
      </c>
    </row>
    <row r="81" spans="2:6">
      <c r="B81" s="62" t="s">
        <v>710</v>
      </c>
      <c r="C81" s="50" t="s">
        <v>262</v>
      </c>
      <c r="D81" s="116">
        <f>Ведомственная!G178</f>
        <v>480</v>
      </c>
      <c r="E81" s="116">
        <f>Ведомственная!H178</f>
        <v>219.7</v>
      </c>
      <c r="F81" s="116">
        <f>Ведомственная!I178</f>
        <v>0.45770833333333333</v>
      </c>
    </row>
    <row r="82" spans="2:6">
      <c r="B82" s="62" t="s">
        <v>711</v>
      </c>
      <c r="C82" s="50" t="s">
        <v>708</v>
      </c>
      <c r="D82" s="116">
        <f>Ведомственная!G179</f>
        <v>40</v>
      </c>
      <c r="E82" s="116">
        <f>Ведомственная!H179</f>
        <v>26.8</v>
      </c>
      <c r="F82" s="116">
        <f>Ведомственная!I179</f>
        <v>0.67</v>
      </c>
    </row>
    <row r="83" spans="2:6" s="6" customFormat="1" ht="25.5">
      <c r="B83" s="74" t="s">
        <v>707</v>
      </c>
      <c r="C83" s="11" t="s">
        <v>263</v>
      </c>
      <c r="D83" s="115">
        <f>SUM(D84:D89)</f>
        <v>682</v>
      </c>
      <c r="E83" s="115">
        <f t="shared" ref="E83:F83" si="15">SUM(E84:E89)</f>
        <v>562.5</v>
      </c>
      <c r="F83" s="115">
        <f t="shared" si="15"/>
        <v>2.0780333333333334</v>
      </c>
    </row>
    <row r="84" spans="2:6" ht="25.5">
      <c r="B84" s="62" t="s">
        <v>888</v>
      </c>
      <c r="C84" s="50" t="s">
        <v>309</v>
      </c>
      <c r="D84" s="185">
        <f>Ведомственная!G158</f>
        <v>500</v>
      </c>
      <c r="E84" s="185">
        <f>Ведомственная!H158</f>
        <v>432.1</v>
      </c>
      <c r="F84" s="185">
        <f>Ведомственная!I158</f>
        <v>0.86420000000000008</v>
      </c>
    </row>
    <row r="85" spans="2:6" ht="25.5">
      <c r="B85" s="62" t="s">
        <v>886</v>
      </c>
      <c r="C85" s="50" t="s">
        <v>310</v>
      </c>
      <c r="D85" s="185">
        <f>Ведомственная!G159</f>
        <v>10</v>
      </c>
      <c r="E85" s="185">
        <f>Ведомственная!H159</f>
        <v>0</v>
      </c>
      <c r="F85" s="185">
        <f>Ведомственная!I159</f>
        <v>0</v>
      </c>
    </row>
    <row r="86" spans="2:6" ht="25.5">
      <c r="B86" s="62" t="s">
        <v>887</v>
      </c>
      <c r="C86" s="50" t="s">
        <v>706</v>
      </c>
      <c r="D86" s="185">
        <f>Ведомственная!G160</f>
        <v>1</v>
      </c>
      <c r="E86" s="185">
        <f>Ведомственная!H160</f>
        <v>0</v>
      </c>
      <c r="F86" s="185">
        <f>Ведомственная!I160</f>
        <v>0</v>
      </c>
    </row>
    <row r="87" spans="2:6">
      <c r="B87" s="62" t="s">
        <v>703</v>
      </c>
      <c r="C87" s="50" t="s">
        <v>705</v>
      </c>
      <c r="D87" s="185">
        <f>Ведомственная!G161</f>
        <v>120</v>
      </c>
      <c r="E87" s="185">
        <f>Ведомственная!H161</f>
        <v>119.5</v>
      </c>
      <c r="F87" s="185">
        <f>Ведомственная!I161</f>
        <v>0.99583333333333335</v>
      </c>
    </row>
    <row r="88" spans="2:6">
      <c r="B88" s="62" t="s">
        <v>704</v>
      </c>
      <c r="C88" s="50" t="s">
        <v>522</v>
      </c>
      <c r="D88" s="185">
        <f>Ведомственная!G162</f>
        <v>1</v>
      </c>
      <c r="E88" s="185">
        <f>Ведомственная!H162</f>
        <v>0</v>
      </c>
      <c r="F88" s="185">
        <f>Ведомственная!I162</f>
        <v>0</v>
      </c>
    </row>
    <row r="89" spans="2:6">
      <c r="B89" s="62" t="s">
        <v>889</v>
      </c>
      <c r="C89" s="50" t="s">
        <v>592</v>
      </c>
      <c r="D89" s="185">
        <f>Ведомственная!G163</f>
        <v>50</v>
      </c>
      <c r="E89" s="185">
        <f>Ведомственная!H163</f>
        <v>10.9</v>
      </c>
      <c r="F89" s="185">
        <f>Ведомственная!I163</f>
        <v>0.218</v>
      </c>
    </row>
    <row r="90" spans="2:6" s="6" customFormat="1" ht="25.5">
      <c r="B90" s="104" t="s">
        <v>768</v>
      </c>
      <c r="C90" s="11" t="s">
        <v>345</v>
      </c>
      <c r="D90" s="115">
        <f>D91</f>
        <v>150</v>
      </c>
      <c r="E90" s="115">
        <f t="shared" ref="E90:F90" si="16">E91</f>
        <v>0</v>
      </c>
      <c r="F90" s="115">
        <f t="shared" si="16"/>
        <v>0</v>
      </c>
    </row>
    <row r="91" spans="2:6">
      <c r="B91" s="105" t="s">
        <v>351</v>
      </c>
      <c r="C91" s="50" t="s">
        <v>361</v>
      </c>
      <c r="D91" s="116">
        <f>Ведомственная!G458</f>
        <v>150</v>
      </c>
      <c r="E91" s="116">
        <f>Ведомственная!H458</f>
        <v>0</v>
      </c>
      <c r="F91" s="116">
        <f>Ведомственная!I458</f>
        <v>0</v>
      </c>
    </row>
    <row r="92" spans="2:6" s="6" customFormat="1" ht="25.5">
      <c r="B92" s="74" t="s">
        <v>925</v>
      </c>
      <c r="C92" s="11" t="s">
        <v>346</v>
      </c>
      <c r="D92" s="115">
        <f>D93+D94+D96</f>
        <v>11255.5</v>
      </c>
      <c r="E92" s="176">
        <f>SUM(E93:E110)</f>
        <v>11496.699999999999</v>
      </c>
      <c r="F92" s="176" t="e">
        <f>SUM(F93:F110)</f>
        <v>#DIV/0!</v>
      </c>
    </row>
    <row r="93" spans="2:6">
      <c r="B93" s="62" t="s">
        <v>362</v>
      </c>
      <c r="C93" s="50" t="s">
        <v>357</v>
      </c>
      <c r="D93" s="180">
        <f>Ведомственная!G562+Ведомственная!G494</f>
        <v>9317.7000000000007</v>
      </c>
      <c r="E93" s="180">
        <f>Ведомственная!H562+Ведомственная!H494</f>
        <v>9174.9</v>
      </c>
      <c r="F93" s="179">
        <f>Ведомственная!I562+Ведомственная!I494</f>
        <v>2.0030386393716491</v>
      </c>
    </row>
    <row r="94" spans="2:6" ht="25.5">
      <c r="B94" s="62" t="s">
        <v>454</v>
      </c>
      <c r="C94" s="50" t="s">
        <v>358</v>
      </c>
      <c r="D94" s="180">
        <f>Ведомственная!G584+Ведомственная!G497</f>
        <v>1082.8</v>
      </c>
      <c r="E94" s="180">
        <f>Ведомственная!H584+Ведомственная!H497</f>
        <v>1082.8</v>
      </c>
      <c r="F94" s="179">
        <f>Ведомственная!I584+Ведомственная!I497</f>
        <v>2</v>
      </c>
    </row>
    <row r="95" spans="2:6" ht="25.5">
      <c r="B95" s="62" t="s">
        <v>518</v>
      </c>
      <c r="C95" s="50" t="s">
        <v>546</v>
      </c>
      <c r="D95" s="180">
        <f>Ведомственная!G604</f>
        <v>0</v>
      </c>
      <c r="E95" s="180">
        <f>Ведомственная!H604</f>
        <v>0</v>
      </c>
      <c r="F95" s="177" t="e">
        <f>Ведомственная!I604</f>
        <v>#DIV/0!</v>
      </c>
    </row>
    <row r="96" spans="2:6" ht="28.5" customHeight="1">
      <c r="B96" s="62" t="s">
        <v>600</v>
      </c>
      <c r="C96" s="50" t="s">
        <v>598</v>
      </c>
      <c r="D96" s="195">
        <f>Ведомственная!G597</f>
        <v>855</v>
      </c>
      <c r="E96" s="195">
        <f>Ведомственная!H597</f>
        <v>840</v>
      </c>
      <c r="F96" s="195">
        <f>Ведомственная!I597</f>
        <v>0.98245614035087714</v>
      </c>
    </row>
    <row r="97" spans="2:6" ht="28.5" customHeight="1">
      <c r="B97" s="15" t="s">
        <v>847</v>
      </c>
      <c r="C97" s="50" t="s">
        <v>848</v>
      </c>
      <c r="D97" s="185">
        <f>Ведомственная!G601</f>
        <v>0</v>
      </c>
      <c r="E97" s="185">
        <f>Ведомственная!H601</f>
        <v>0</v>
      </c>
      <c r="F97" s="185" t="e">
        <f>Ведомственная!I601</f>
        <v>#DIV/0!</v>
      </c>
    </row>
    <row r="98" spans="2:6" s="6" customFormat="1" ht="25.5">
      <c r="B98" s="74" t="s">
        <v>495</v>
      </c>
      <c r="C98" s="11" t="s">
        <v>414</v>
      </c>
      <c r="D98" s="184">
        <f>D99+D100+D101</f>
        <v>399</v>
      </c>
      <c r="E98" s="184">
        <f t="shared" ref="E98:F98" si="17">E99+E100</f>
        <v>0</v>
      </c>
      <c r="F98" s="184" t="e">
        <f t="shared" si="17"/>
        <v>#DIV/0!</v>
      </c>
    </row>
    <row r="99" spans="2:6" ht="38.25">
      <c r="B99" s="132" t="s">
        <v>498</v>
      </c>
      <c r="C99" s="128" t="s">
        <v>417</v>
      </c>
      <c r="D99" s="133">
        <f>Ведомственная!G206+Ведомственная!G715</f>
        <v>0</v>
      </c>
      <c r="E99" s="133">
        <f>Ведомственная!H206+Ведомственная!H715</f>
        <v>0</v>
      </c>
      <c r="F99" s="133" t="e">
        <f>Ведомственная!I206+Ведомственная!I715</f>
        <v>#DIV/0!</v>
      </c>
    </row>
    <row r="100" spans="2:6" ht="25.5">
      <c r="B100" s="62" t="s">
        <v>515</v>
      </c>
      <c r="C100" s="128" t="s">
        <v>508</v>
      </c>
      <c r="D100" s="133">
        <f>Ведомственная!G210</f>
        <v>0</v>
      </c>
      <c r="E100" s="133">
        <f>Ведомственная!H210</f>
        <v>0</v>
      </c>
      <c r="F100" s="133" t="e">
        <f>Ведомственная!I210</f>
        <v>#DIV/0!</v>
      </c>
    </row>
    <row r="101" spans="2:6" ht="25.5">
      <c r="B101" s="62" t="s">
        <v>890</v>
      </c>
      <c r="C101" s="128" t="s">
        <v>892</v>
      </c>
      <c r="D101" s="133">
        <f>Ведомственная!G214</f>
        <v>399</v>
      </c>
      <c r="E101" s="133">
        <f>Ведомственная!H214</f>
        <v>399</v>
      </c>
      <c r="F101" s="133">
        <f>Ведомственная!I214</f>
        <v>1</v>
      </c>
    </row>
    <row r="102" spans="2:6" ht="39" hidden="1" customHeight="1">
      <c r="B102" s="101" t="s">
        <v>412</v>
      </c>
      <c r="C102" s="11" t="s">
        <v>415</v>
      </c>
      <c r="D102" s="165">
        <f>D103+D105+D106+D104</f>
        <v>0</v>
      </c>
      <c r="E102" s="165">
        <f t="shared" ref="E102:F102" si="18">E103+E105+E106+E104</f>
        <v>0</v>
      </c>
      <c r="F102" s="165" t="e">
        <f t="shared" si="18"/>
        <v>#DIV/0!</v>
      </c>
    </row>
    <row r="103" spans="2:6" ht="25.5" hidden="1">
      <c r="B103" s="62" t="s">
        <v>413</v>
      </c>
      <c r="C103" s="50" t="s">
        <v>483</v>
      </c>
      <c r="D103" s="166">
        <f>Ведомственная!G270+Ведомственная!G274</f>
        <v>0</v>
      </c>
      <c r="E103" s="166">
        <f>Ведомственная!H270+Ведомственная!H274</f>
        <v>0</v>
      </c>
      <c r="F103" s="166" t="e">
        <f>Ведомственная!I270+Ведомственная!I274</f>
        <v>#DIV/0!</v>
      </c>
    </row>
    <row r="104" spans="2:6" ht="25.5" hidden="1">
      <c r="B104" s="62" t="s">
        <v>555</v>
      </c>
      <c r="C104" s="50" t="s">
        <v>483</v>
      </c>
      <c r="D104" s="166">
        <f>Ведомственная!G503</f>
        <v>0</v>
      </c>
      <c r="E104" s="166">
        <f>Ведомственная!H503</f>
        <v>0</v>
      </c>
      <c r="F104" s="166" t="e">
        <f>Ведомственная!I503</f>
        <v>#DIV/0!</v>
      </c>
    </row>
    <row r="105" spans="2:6" ht="38.25" hidden="1">
      <c r="B105" s="62" t="s">
        <v>471</v>
      </c>
      <c r="C105" s="50" t="s">
        <v>455</v>
      </c>
      <c r="D105" s="166">
        <f>Ведомственная!G501</f>
        <v>0</v>
      </c>
      <c r="E105" s="166">
        <f>Ведомственная!H501</f>
        <v>0</v>
      </c>
      <c r="F105" s="166" t="e">
        <f>Ведомственная!I501</f>
        <v>#DIV/0!</v>
      </c>
    </row>
    <row r="106" spans="2:6" ht="38.25" hidden="1">
      <c r="B106" s="62" t="s">
        <v>605</v>
      </c>
      <c r="C106" s="50" t="s">
        <v>506</v>
      </c>
      <c r="D106" s="166">
        <f>Ведомственная!G267</f>
        <v>0</v>
      </c>
      <c r="E106" s="166">
        <f>Ведомственная!H267</f>
        <v>0</v>
      </c>
      <c r="F106" s="166" t="e">
        <f>Ведомственная!I267</f>
        <v>#DIV/0!</v>
      </c>
    </row>
    <row r="107" spans="2:6" s="6" customFormat="1" ht="25.5">
      <c r="B107" s="106" t="s">
        <v>444</v>
      </c>
      <c r="C107" s="11" t="s">
        <v>423</v>
      </c>
      <c r="D107" s="165">
        <f>D108+D109+D110</f>
        <v>0</v>
      </c>
      <c r="E107" s="165">
        <f t="shared" ref="E107:F107" si="19">E108+E109+E110</f>
        <v>0</v>
      </c>
      <c r="F107" s="165" t="e">
        <f t="shared" si="19"/>
        <v>#DIV/0!</v>
      </c>
    </row>
    <row r="108" spans="2:6">
      <c r="B108" s="62" t="s">
        <v>424</v>
      </c>
      <c r="C108" s="50" t="s">
        <v>425</v>
      </c>
      <c r="D108" s="166">
        <f>Ведомственная!G435</f>
        <v>0</v>
      </c>
      <c r="E108" s="166">
        <f>Ведомственная!H435</f>
        <v>0</v>
      </c>
      <c r="F108" s="166" t="e">
        <f>Ведомственная!I435</f>
        <v>#DIV/0!</v>
      </c>
    </row>
    <row r="109" spans="2:6">
      <c r="B109" s="62" t="s">
        <v>434</v>
      </c>
      <c r="C109" s="50" t="s">
        <v>429</v>
      </c>
      <c r="D109" s="166">
        <f>Ведомственная!G441</f>
        <v>0</v>
      </c>
      <c r="E109" s="166">
        <f>Ведомственная!H441</f>
        <v>0</v>
      </c>
      <c r="F109" s="166" t="e">
        <f>Ведомственная!I441</f>
        <v>#DIV/0!</v>
      </c>
    </row>
    <row r="110" spans="2:6" ht="15.75" customHeight="1">
      <c r="B110" s="62" t="s">
        <v>433</v>
      </c>
      <c r="C110" s="50" t="s">
        <v>431</v>
      </c>
      <c r="D110" s="166">
        <f>Ведомственная!G443</f>
        <v>0</v>
      </c>
      <c r="E110" s="166">
        <f>Ведомственная!H443</f>
        <v>0</v>
      </c>
      <c r="F110" s="166" t="e">
        <f>Ведомственная!I443</f>
        <v>#DIV/0!</v>
      </c>
    </row>
    <row r="111" spans="2:6" s="6" customFormat="1">
      <c r="B111" s="101" t="s">
        <v>731</v>
      </c>
      <c r="C111" s="129" t="s">
        <v>526</v>
      </c>
      <c r="D111" s="115">
        <f>SUM(D112:D127)</f>
        <v>124242.6</v>
      </c>
      <c r="E111" s="178">
        <f t="shared" ref="E111:F111" si="20">SUM(E112:E126)</f>
        <v>75114</v>
      </c>
      <c r="F111" s="178" t="e">
        <f t="shared" si="20"/>
        <v>#DIV/0!</v>
      </c>
    </row>
    <row r="112" spans="2:6" ht="38.25">
      <c r="B112" s="102" t="s">
        <v>732</v>
      </c>
      <c r="C112" s="50" t="s">
        <v>531</v>
      </c>
      <c r="D112" s="116">
        <f>Ведомственная!G217</f>
        <v>25208.600000000002</v>
      </c>
      <c r="E112" s="116">
        <f>Ведомственная!H217</f>
        <v>24357</v>
      </c>
      <c r="F112" s="116">
        <f>Ведомственная!I217</f>
        <v>0.96621787802575299</v>
      </c>
    </row>
    <row r="113" spans="2:6" ht="25.5">
      <c r="B113" s="62" t="s">
        <v>733</v>
      </c>
      <c r="C113" s="50" t="s">
        <v>581</v>
      </c>
      <c r="D113" s="116">
        <f>Ведомственная!G223</f>
        <v>0</v>
      </c>
      <c r="E113" s="116">
        <f>Ведомственная!H223</f>
        <v>0</v>
      </c>
      <c r="F113" s="116" t="e">
        <f>Ведомственная!I223</f>
        <v>#DIV/0!</v>
      </c>
    </row>
    <row r="114" spans="2:6">
      <c r="B114" s="62" t="s">
        <v>734</v>
      </c>
      <c r="C114" s="50" t="s">
        <v>681</v>
      </c>
      <c r="D114" s="116">
        <f>Ведомственная!G224</f>
        <v>0</v>
      </c>
      <c r="E114" s="116">
        <f>Ведомственная!H224</f>
        <v>0</v>
      </c>
      <c r="F114" s="116" t="e">
        <f>Ведомственная!I224</f>
        <v>#DIV/0!</v>
      </c>
    </row>
    <row r="115" spans="2:6">
      <c r="B115" s="62" t="s">
        <v>735</v>
      </c>
      <c r="C115" s="50" t="s">
        <v>682</v>
      </c>
      <c r="D115" s="116">
        <f>Ведомственная!G225</f>
        <v>0</v>
      </c>
      <c r="E115" s="116">
        <f>Ведомственная!H225</f>
        <v>0</v>
      </c>
      <c r="F115" s="116" t="e">
        <f>Ведомственная!I225</f>
        <v>#DIV/0!</v>
      </c>
    </row>
    <row r="116" spans="2:6">
      <c r="B116" s="62" t="s">
        <v>736</v>
      </c>
      <c r="C116" s="50" t="s">
        <v>746</v>
      </c>
      <c r="D116" s="116">
        <f>Ведомственная!G291</f>
        <v>0</v>
      </c>
      <c r="E116" s="116">
        <f>Ведомственная!H291</f>
        <v>0</v>
      </c>
      <c r="F116" s="116" t="e">
        <f>Ведомственная!I291</f>
        <v>#DIV/0!</v>
      </c>
    </row>
    <row r="117" spans="2:6" ht="25.5">
      <c r="B117" s="62" t="s">
        <v>737</v>
      </c>
      <c r="C117" s="50" t="s">
        <v>747</v>
      </c>
      <c r="D117" s="116">
        <f>Ведомственная!G297+Ведомственная!G298</f>
        <v>3338.2</v>
      </c>
      <c r="E117" s="116">
        <f>Ведомственная!H297</f>
        <v>0</v>
      </c>
      <c r="F117" s="116" t="e">
        <f>Ведомственная!I297</f>
        <v>#DIV/0!</v>
      </c>
    </row>
    <row r="118" spans="2:6" ht="16.5" customHeight="1">
      <c r="B118" s="62" t="s">
        <v>738</v>
      </c>
      <c r="C118" s="50" t="s">
        <v>748</v>
      </c>
      <c r="D118" s="116">
        <f>Ведомственная!G355+Ведомственная!G357</f>
        <v>58974.200000000004</v>
      </c>
      <c r="E118" s="197">
        <f>Ведомственная!H355+Ведомственная!H357</f>
        <v>50757</v>
      </c>
      <c r="F118" s="197" t="e">
        <f>Ведомственная!I355+Ведомственная!I357</f>
        <v>#DIV/0!</v>
      </c>
    </row>
    <row r="119" spans="2:6">
      <c r="B119" s="62" t="s">
        <v>739</v>
      </c>
      <c r="C119" s="50" t="s">
        <v>683</v>
      </c>
      <c r="D119" s="116">
        <f>Ведомственная!G226</f>
        <v>0</v>
      </c>
      <c r="E119" s="116">
        <f>Ведомственная!H226</f>
        <v>0</v>
      </c>
      <c r="F119" s="116" t="e">
        <f>Ведомственная!I226</f>
        <v>#DIV/0!</v>
      </c>
    </row>
    <row r="120" spans="2:6">
      <c r="B120" s="62" t="s">
        <v>740</v>
      </c>
      <c r="C120" s="50" t="s">
        <v>684</v>
      </c>
      <c r="D120" s="116">
        <f>Ведомственная!G227</f>
        <v>0</v>
      </c>
      <c r="E120" s="116">
        <f>Ведомственная!H227</f>
        <v>0</v>
      </c>
      <c r="F120" s="116" t="e">
        <f>Ведомственная!I227</f>
        <v>#DIV/0!</v>
      </c>
    </row>
    <row r="121" spans="2:6">
      <c r="B121" s="62" t="s">
        <v>741</v>
      </c>
      <c r="C121" s="50" t="s">
        <v>685</v>
      </c>
      <c r="D121" s="116">
        <f>Ведомственная!G228</f>
        <v>0</v>
      </c>
      <c r="E121" s="116">
        <f>Ведомственная!H228</f>
        <v>0</v>
      </c>
      <c r="F121" s="116" t="e">
        <f>Ведомственная!I228</f>
        <v>#DIV/0!</v>
      </c>
    </row>
    <row r="122" spans="2:6" ht="25.5">
      <c r="B122" s="62" t="s">
        <v>742</v>
      </c>
      <c r="C122" s="50" t="s">
        <v>749</v>
      </c>
      <c r="D122" s="116">
        <f>Ведомственная!G299</f>
        <v>0</v>
      </c>
      <c r="E122" s="116">
        <f>Ведомственная!H299</f>
        <v>0</v>
      </c>
      <c r="F122" s="116" t="e">
        <f>Ведомственная!I299</f>
        <v>#DIV/0!</v>
      </c>
    </row>
    <row r="123" spans="2:6">
      <c r="B123" s="62" t="s">
        <v>743</v>
      </c>
      <c r="C123" s="50" t="s">
        <v>750</v>
      </c>
      <c r="D123" s="116">
        <f>Ведомственная!G330</f>
        <v>0</v>
      </c>
      <c r="E123" s="116">
        <f>Ведомственная!H330</f>
        <v>0</v>
      </c>
      <c r="F123" s="116" t="e">
        <f>Ведомственная!I330</f>
        <v>#DIV/0!</v>
      </c>
    </row>
    <row r="124" spans="2:6" ht="25.5">
      <c r="B124" s="103" t="s">
        <v>744</v>
      </c>
      <c r="C124" s="50" t="s">
        <v>751</v>
      </c>
      <c r="D124" s="116">
        <f>Ведомственная!G331+Ведомственная!G332</f>
        <v>3237.5</v>
      </c>
      <c r="E124" s="116">
        <f>Ведомственная!H331</f>
        <v>0</v>
      </c>
      <c r="F124" s="116" t="e">
        <f>Ведомственная!I331</f>
        <v>#DIV/0!</v>
      </c>
    </row>
    <row r="125" spans="2:6" ht="25.5">
      <c r="B125" s="103" t="s">
        <v>745</v>
      </c>
      <c r="C125" s="50" t="s">
        <v>752</v>
      </c>
      <c r="D125" s="116">
        <f>Ведомственная!G300+Ведомственная!G301</f>
        <v>3237.5</v>
      </c>
      <c r="E125" s="116">
        <f>Ведомственная!H300</f>
        <v>0</v>
      </c>
      <c r="F125" s="116" t="e">
        <f>Ведомственная!I300</f>
        <v>#DIV/0!</v>
      </c>
    </row>
    <row r="126" spans="2:6" s="137" customFormat="1" ht="25.5">
      <c r="B126" s="62" t="s">
        <v>813</v>
      </c>
      <c r="C126" s="50" t="s">
        <v>778</v>
      </c>
      <c r="D126" s="150">
        <f>Ведомственная!G333+Ведомственная!G336+Ведомственная!G337</f>
        <v>22449.8</v>
      </c>
      <c r="E126" s="150">
        <f>Ведомственная!H333</f>
        <v>0</v>
      </c>
      <c r="F126" s="150" t="e">
        <f>Ведомственная!I333</f>
        <v>#DIV/0!</v>
      </c>
    </row>
    <row r="127" spans="2:6">
      <c r="B127" s="15" t="s">
        <v>580</v>
      </c>
      <c r="C127" s="50" t="s">
        <v>871</v>
      </c>
      <c r="D127" s="182">
        <f>Ведомственная!G253</f>
        <v>7796.8</v>
      </c>
      <c r="E127" s="182">
        <f>Ведомственная!H253</f>
        <v>7796.8</v>
      </c>
      <c r="F127" s="182">
        <f>Ведомственная!I253</f>
        <v>1</v>
      </c>
    </row>
    <row r="128" spans="2:6" ht="38.25">
      <c r="B128" s="74" t="s">
        <v>896</v>
      </c>
      <c r="C128" s="11" t="s">
        <v>606</v>
      </c>
      <c r="D128" s="115">
        <f>D129</f>
        <v>11093</v>
      </c>
      <c r="E128" s="115">
        <f t="shared" ref="E128:F128" si="21">E129</f>
        <v>11093</v>
      </c>
      <c r="F128" s="115">
        <f t="shared" si="21"/>
        <v>1</v>
      </c>
    </row>
    <row r="129" spans="2:6" ht="25.5">
      <c r="B129" s="62" t="s">
        <v>610</v>
      </c>
      <c r="C129" s="50" t="s">
        <v>607</v>
      </c>
      <c r="D129" s="116">
        <f>Ведомственная!G608</f>
        <v>11093</v>
      </c>
      <c r="E129" s="116">
        <f>Ведомственная!H608</f>
        <v>11093</v>
      </c>
      <c r="F129" s="116">
        <f>Ведомственная!I608</f>
        <v>1</v>
      </c>
    </row>
    <row r="130" spans="2:6" ht="25.5">
      <c r="B130" s="74" t="s">
        <v>624</v>
      </c>
      <c r="C130" s="11" t="s">
        <v>625</v>
      </c>
      <c r="D130" s="151">
        <f>D131+D132</f>
        <v>14920.5</v>
      </c>
      <c r="E130" s="151">
        <f t="shared" ref="E130:F130" si="22">E131+E132</f>
        <v>12776.099999999999</v>
      </c>
      <c r="F130" s="151">
        <f t="shared" si="22"/>
        <v>1.6877816154371259</v>
      </c>
    </row>
    <row r="131" spans="2:6">
      <c r="B131" s="62" t="s">
        <v>626</v>
      </c>
      <c r="C131" s="50" t="s">
        <v>628</v>
      </c>
      <c r="D131" s="116">
        <f>Ведомственная!G613</f>
        <v>8810.7000000000007</v>
      </c>
      <c r="E131" s="116">
        <f>Ведомственная!H613</f>
        <v>8038.2</v>
      </c>
      <c r="F131" s="116">
        <f>Ведомственная!I613</f>
        <v>0.91232251693963018</v>
      </c>
    </row>
    <row r="132" spans="2:6">
      <c r="B132" s="62" t="s">
        <v>627</v>
      </c>
      <c r="C132" s="50" t="s">
        <v>629</v>
      </c>
      <c r="D132" s="116">
        <f>Ведомственная!G620</f>
        <v>6109.8</v>
      </c>
      <c r="E132" s="116">
        <f>Ведомственная!H620</f>
        <v>4737.8999999999996</v>
      </c>
      <c r="F132" s="116">
        <f>Ведомственная!I620</f>
        <v>0.77545909849749572</v>
      </c>
    </row>
    <row r="133" spans="2:6" s="6" customFormat="1" ht="36" customHeight="1">
      <c r="B133" s="11" t="s">
        <v>712</v>
      </c>
      <c r="C133" s="11" t="s">
        <v>670</v>
      </c>
      <c r="D133" s="115">
        <f>SUM(D134:D137)</f>
        <v>54</v>
      </c>
      <c r="E133" s="115">
        <f t="shared" ref="E133:F133" si="23">SUM(E134:E137)</f>
        <v>3</v>
      </c>
      <c r="F133" s="115" t="e">
        <f t="shared" si="23"/>
        <v>#DIV/0!</v>
      </c>
    </row>
    <row r="134" spans="2:6" ht="45.75" customHeight="1">
      <c r="B134" s="62" t="s">
        <v>713</v>
      </c>
      <c r="C134" s="50" t="s">
        <v>671</v>
      </c>
      <c r="D134" s="116">
        <f>Ведомственная!G304</f>
        <v>0</v>
      </c>
      <c r="E134" s="116">
        <f>Ведомственная!H304</f>
        <v>0</v>
      </c>
      <c r="F134" s="116" t="e">
        <f>Ведомственная!I304</f>
        <v>#DIV/0!</v>
      </c>
    </row>
    <row r="135" spans="2:6" ht="38.25">
      <c r="B135" s="62" t="s">
        <v>714</v>
      </c>
      <c r="C135" s="50" t="s">
        <v>674</v>
      </c>
      <c r="D135" s="116">
        <f>Ведомственная!G308</f>
        <v>24</v>
      </c>
      <c r="E135" s="116">
        <f>Ведомственная!H308</f>
        <v>3</v>
      </c>
      <c r="F135" s="116">
        <f>Ведомственная!I308</f>
        <v>0.125</v>
      </c>
    </row>
    <row r="136" spans="2:6">
      <c r="B136" s="62" t="s">
        <v>715</v>
      </c>
      <c r="C136" s="50" t="s">
        <v>675</v>
      </c>
      <c r="D136" s="116">
        <f>Ведомственная!G294</f>
        <v>0</v>
      </c>
      <c r="E136" s="116">
        <f>Ведомственная!H294</f>
        <v>0</v>
      </c>
      <c r="F136" s="116" t="e">
        <f>Ведомственная!I294</f>
        <v>#DIV/0!</v>
      </c>
    </row>
    <row r="137" spans="2:6" ht="25.5">
      <c r="B137" s="62" t="s">
        <v>716</v>
      </c>
      <c r="C137" s="50" t="s">
        <v>672</v>
      </c>
      <c r="D137" s="116">
        <f>Ведомственная!G305</f>
        <v>30</v>
      </c>
      <c r="E137" s="116">
        <f>Ведомственная!H305</f>
        <v>0</v>
      </c>
      <c r="F137" s="116">
        <f>Ведомственная!I305</f>
        <v>0</v>
      </c>
    </row>
    <row r="138" spans="2:6" s="6" customFormat="1" ht="38.25">
      <c r="B138" s="14" t="s">
        <v>904</v>
      </c>
      <c r="C138" s="11" t="s">
        <v>668</v>
      </c>
      <c r="D138" s="115">
        <f>SUM(D139:D142)</f>
        <v>200</v>
      </c>
      <c r="E138" s="115">
        <f t="shared" ref="E138:F138" si="24">SUM(E139:E142)</f>
        <v>0</v>
      </c>
      <c r="F138" s="115" t="e">
        <f t="shared" si="24"/>
        <v>#DIV/0!</v>
      </c>
    </row>
    <row r="139" spans="2:6">
      <c r="B139" s="62" t="s">
        <v>717</v>
      </c>
      <c r="C139" s="50" t="s">
        <v>722</v>
      </c>
      <c r="D139" s="116">
        <f>Ведомственная!G231</f>
        <v>200</v>
      </c>
      <c r="E139" s="116">
        <f>Ведомственная!H231</f>
        <v>0</v>
      </c>
      <c r="F139" s="116">
        <f>Ведомственная!I231</f>
        <v>0</v>
      </c>
    </row>
    <row r="140" spans="2:6">
      <c r="B140" s="62" t="s">
        <v>718</v>
      </c>
      <c r="C140" s="50" t="s">
        <v>723</v>
      </c>
      <c r="D140" s="116">
        <f>Ведомственная!G232</f>
        <v>0</v>
      </c>
      <c r="E140" s="116">
        <f>Ведомственная!H232</f>
        <v>0</v>
      </c>
      <c r="F140" s="116" t="e">
        <f>Ведомственная!I232</f>
        <v>#DIV/0!</v>
      </c>
    </row>
    <row r="141" spans="2:6">
      <c r="B141" s="62" t="s">
        <v>719</v>
      </c>
      <c r="C141" s="50" t="s">
        <v>724</v>
      </c>
      <c r="D141" s="116">
        <f>Ведомственная!G233</f>
        <v>0</v>
      </c>
      <c r="E141" s="116">
        <f>Ведомственная!H233</f>
        <v>0</v>
      </c>
      <c r="F141" s="116" t="e">
        <f>Ведомственная!I233</f>
        <v>#DIV/0!</v>
      </c>
    </row>
    <row r="142" spans="2:6" ht="25.5">
      <c r="B142" s="62" t="s">
        <v>720</v>
      </c>
      <c r="C142" s="50" t="s">
        <v>689</v>
      </c>
      <c r="D142" s="116">
        <f>Ведомственная!G182</f>
        <v>0</v>
      </c>
      <c r="E142" s="116">
        <f>Ведомственная!H182</f>
        <v>0</v>
      </c>
      <c r="F142" s="116" t="e">
        <f>Ведомственная!I182</f>
        <v>#DIV/0!</v>
      </c>
    </row>
    <row r="143" spans="2:6" ht="38.25">
      <c r="B143" s="74" t="s">
        <v>862</v>
      </c>
      <c r="C143" s="11" t="s">
        <v>790</v>
      </c>
      <c r="D143" s="135">
        <f>SUM(D144:D146)</f>
        <v>1116.2</v>
      </c>
      <c r="E143" s="135">
        <f t="shared" ref="E143:F143" si="25">SUM(E144:E146)</f>
        <v>1116</v>
      </c>
      <c r="F143" s="135">
        <f t="shared" si="25"/>
        <v>5.9973464519976147</v>
      </c>
    </row>
    <row r="144" spans="2:6" ht="38.25">
      <c r="B144" s="15" t="s">
        <v>788</v>
      </c>
      <c r="C144" s="50" t="s">
        <v>791</v>
      </c>
      <c r="D144" s="136">
        <f>Ведомственная!G645+Ведомственная!G525</f>
        <v>871.90000000000009</v>
      </c>
      <c r="E144" s="136">
        <f>Ведомственная!H645+Ведомственная!H525</f>
        <v>871.9</v>
      </c>
      <c r="F144" s="136">
        <f>Ведомственная!I645+Ведомственная!I525</f>
        <v>2</v>
      </c>
    </row>
    <row r="145" spans="1:6" ht="25.5">
      <c r="B145" s="15" t="s">
        <v>789</v>
      </c>
      <c r="C145" s="50" t="s">
        <v>793</v>
      </c>
      <c r="D145" s="136">
        <f>Ведомственная!G528+Ведомственная!G648</f>
        <v>4</v>
      </c>
      <c r="E145" s="136">
        <f>Ведомственная!H528+Ведомственная!H648</f>
        <v>4</v>
      </c>
      <c r="F145" s="136">
        <f>Ведомственная!I528+Ведомственная!I648</f>
        <v>2</v>
      </c>
    </row>
    <row r="146" spans="1:6" ht="25.5">
      <c r="B146" s="15" t="s">
        <v>795</v>
      </c>
      <c r="C146" s="50" t="s">
        <v>796</v>
      </c>
      <c r="D146" s="136">
        <f>Ведомственная!G651+Ведомственная!G530</f>
        <v>240.30000000000004</v>
      </c>
      <c r="E146" s="136">
        <f>Ведомственная!H651+Ведомственная!H530</f>
        <v>240.10000000000002</v>
      </c>
      <c r="F146" s="136">
        <f>Ведомственная!I651+Ведомственная!I530</f>
        <v>1.9973464519976143</v>
      </c>
    </row>
    <row r="147" spans="1:6">
      <c r="B147" s="51" t="s">
        <v>60</v>
      </c>
      <c r="C147" s="50"/>
      <c r="D147" s="119">
        <f>D107+D102+D98+D92+D90+D83+D79+D77+D66+D64+D62+D48+D45+D43+D39+D33+D29+D25+D18+D12+D10+D50+D111+D128+D130+D138+D133+D57+D143</f>
        <v>243614.50000000003</v>
      </c>
      <c r="E147" s="119">
        <f>E107+E102+E98+E92+E90+E83+E79+E77+E66+E64+E62+E48+E45+E43+E39+E33+E29+E25+E18+E12+E10+E50+E111+E128+E130+E138+E133+E57+E143</f>
        <v>189869.1</v>
      </c>
      <c r="F147" s="119" t="e">
        <f>F107+F102+F98+F92+F90+F83+F79+F77+F66+F64+F62+F48+F45+F43+F39+F33+F29+F25+F18+F12+F10+F50+F111+F128+F130+F138+F133+F57+F143</f>
        <v>#DIV/0!</v>
      </c>
    </row>
    <row r="148" spans="1:6" ht="6.75" customHeight="1"/>
    <row r="149" spans="1:6">
      <c r="A149" s="38"/>
    </row>
    <row r="150" spans="1:6">
      <c r="A150" s="38"/>
    </row>
  </sheetData>
  <protectedRanges>
    <protectedRange password="C71F" sqref="H67:I76" name="Диапазон1"/>
  </protectedRanges>
  <mergeCells count="10">
    <mergeCell ref="C1:F3"/>
    <mergeCell ref="B7:B8"/>
    <mergeCell ref="B4:G4"/>
    <mergeCell ref="G7:J7"/>
    <mergeCell ref="C7:C8"/>
    <mergeCell ref="D7:D8"/>
    <mergeCell ref="E7:E8"/>
    <mergeCell ref="F7:F8"/>
    <mergeCell ref="B5:F5"/>
    <mergeCell ref="D6:F6"/>
  </mergeCells>
  <phoneticPr fontId="1" type="noConversion"/>
  <pageMargins left="0.82677165354330717" right="0.23622047244094491" top="0.39370078740157483" bottom="0.6692913385826772" header="0.98425196850393704" footer="0.31496062992125984"/>
  <pageSetup paperSize="9" scale="69" fitToHeight="0" orientation="portrait" r:id="rId1"/>
  <rowBreaks count="2" manualBreakCount="2">
    <brk id="63" min="1" max="5" man="1"/>
    <brk id="121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O22"/>
  <sheetViews>
    <sheetView view="pageBreakPreview" topLeftCell="A5" zoomScaleSheetLayoutView="100" workbookViewId="0">
      <selection activeCell="D12" sqref="D12"/>
    </sheetView>
  </sheetViews>
  <sheetFormatPr defaultColWidth="9.140625" defaultRowHeight="12.75"/>
  <cols>
    <col min="1" max="1" width="0.140625" style="4" customWidth="1"/>
    <col min="2" max="2" width="49" style="9" customWidth="1"/>
    <col min="3" max="3" width="15.7109375" style="5" customWidth="1"/>
    <col min="4" max="4" width="11.140625" style="8" customWidth="1"/>
    <col min="5" max="5" width="10" style="4" customWidth="1"/>
    <col min="6" max="6" width="11" style="4" customWidth="1"/>
    <col min="7" max="16384" width="9.140625" style="4"/>
  </cols>
  <sheetData>
    <row r="1" spans="2:15" hidden="1"/>
    <row r="2" spans="2:15" ht="42" customHeight="1">
      <c r="B2" s="73" t="s">
        <v>882</v>
      </c>
      <c r="C2" s="262"/>
      <c r="D2" s="262"/>
      <c r="E2" s="262"/>
      <c r="F2" s="262"/>
    </row>
    <row r="3" spans="2:15" ht="29.25" customHeight="1">
      <c r="B3" s="229" t="s">
        <v>766</v>
      </c>
      <c r="C3" s="229"/>
      <c r="D3" s="264"/>
      <c r="E3" s="264"/>
      <c r="F3" s="264"/>
      <c r="G3" s="34"/>
    </row>
    <row r="4" spans="2:15">
      <c r="B4" s="34"/>
      <c r="C4" s="34"/>
      <c r="D4" s="36" t="s">
        <v>0</v>
      </c>
      <c r="E4" s="34"/>
      <c r="F4" s="34"/>
      <c r="G4" s="34"/>
    </row>
    <row r="5" spans="2:15" ht="12.75" customHeight="1">
      <c r="B5" s="231" t="s">
        <v>1</v>
      </c>
      <c r="C5" s="233" t="s">
        <v>4</v>
      </c>
      <c r="D5" s="265" t="s">
        <v>344</v>
      </c>
      <c r="E5" s="267" t="s">
        <v>419</v>
      </c>
      <c r="F5" s="267" t="s">
        <v>643</v>
      </c>
      <c r="H5" s="258"/>
      <c r="I5" s="263"/>
      <c r="J5" s="263"/>
      <c r="K5" s="263"/>
      <c r="L5" s="263"/>
    </row>
    <row r="6" spans="2:15" ht="12.75" customHeight="1">
      <c r="B6" s="232"/>
      <c r="C6" s="234"/>
      <c r="D6" s="266"/>
      <c r="E6" s="268"/>
      <c r="F6" s="268"/>
      <c r="H6" s="39"/>
      <c r="I6" s="41"/>
      <c r="J6" s="41"/>
      <c r="K6" s="41"/>
      <c r="L6" s="41"/>
    </row>
    <row r="7" spans="2:15">
      <c r="B7" s="11" t="s">
        <v>6</v>
      </c>
      <c r="C7" s="11" t="s">
        <v>7</v>
      </c>
      <c r="D7" s="12">
        <v>3</v>
      </c>
      <c r="E7" s="13">
        <v>4</v>
      </c>
      <c r="F7" s="13">
        <v>5</v>
      </c>
    </row>
    <row r="8" spans="2:15" ht="48">
      <c r="B8" s="134" t="s">
        <v>822</v>
      </c>
      <c r="C8" s="51" t="s">
        <v>168</v>
      </c>
      <c r="D8" s="54">
        <f>SUM(D9:D11)</f>
        <v>5028.5</v>
      </c>
      <c r="E8" s="54">
        <f t="shared" ref="E8:F8" si="0">SUM(E9:E11)</f>
        <v>4904</v>
      </c>
      <c r="F8" s="54">
        <f t="shared" si="0"/>
        <v>1.955720823798627</v>
      </c>
    </row>
    <row r="9" spans="2:15" ht="38.25">
      <c r="B9" s="62" t="s">
        <v>218</v>
      </c>
      <c r="C9" s="68" t="s">
        <v>219</v>
      </c>
      <c r="D9" s="55">
        <f>Ведомственная!G385</f>
        <v>4780</v>
      </c>
      <c r="E9" s="55">
        <f>Ведомственная!H385</f>
        <v>4780</v>
      </c>
      <c r="F9" s="55">
        <f>Ведомственная!I385</f>
        <v>1</v>
      </c>
    </row>
    <row r="10" spans="2:15" ht="25.5">
      <c r="B10" s="62" t="s">
        <v>220</v>
      </c>
      <c r="C10" s="68" t="s">
        <v>221</v>
      </c>
      <c r="D10" s="55">
        <f>Ведомственная!G386</f>
        <v>218.5</v>
      </c>
      <c r="E10" s="55">
        <f>Ведомственная!H386</f>
        <v>110.5</v>
      </c>
      <c r="F10" s="55">
        <f>Ведомственная!I386</f>
        <v>0.50572082379862704</v>
      </c>
    </row>
    <row r="11" spans="2:15">
      <c r="B11" s="62" t="s">
        <v>222</v>
      </c>
      <c r="C11" s="68" t="s">
        <v>223</v>
      </c>
      <c r="D11" s="55">
        <f>Ведомственная!G387</f>
        <v>30</v>
      </c>
      <c r="E11" s="55">
        <f>Ведомственная!H387</f>
        <v>13.5</v>
      </c>
      <c r="F11" s="55">
        <f>Ведомственная!I387</f>
        <v>0.45</v>
      </c>
      <c r="O11" s="4" t="s">
        <v>359</v>
      </c>
    </row>
    <row r="12" spans="2:15" ht="38.25">
      <c r="B12" s="74" t="s">
        <v>765</v>
      </c>
      <c r="C12" s="51" t="s">
        <v>170</v>
      </c>
      <c r="D12" s="54">
        <f>Целевые!F602</f>
        <v>8381.9</v>
      </c>
      <c r="E12" s="54">
        <f>Целевые!G602</f>
        <v>8205.7000000000007</v>
      </c>
      <c r="F12" s="54">
        <f>Целевые!H602</f>
        <v>2.2765190626802685</v>
      </c>
    </row>
    <row r="13" spans="2:15" ht="25.5">
      <c r="B13" s="62" t="s">
        <v>224</v>
      </c>
      <c r="C13" s="68" t="s">
        <v>225</v>
      </c>
      <c r="D13" s="55">
        <f>Целевые!F604</f>
        <v>6581.7999999999993</v>
      </c>
      <c r="E13" s="55">
        <f>Целевые!G604</f>
        <v>6581.8</v>
      </c>
      <c r="F13" s="55">
        <f>Целевые!H604</f>
        <v>1.0000000000000002</v>
      </c>
    </row>
    <row r="14" spans="2:15" ht="25.5">
      <c r="B14" s="62" t="s">
        <v>220</v>
      </c>
      <c r="C14" s="68" t="s">
        <v>226</v>
      </c>
      <c r="D14" s="55">
        <f>Целевые!F605</f>
        <v>1649.5</v>
      </c>
      <c r="E14" s="55">
        <f>Целевые!G605</f>
        <v>1575.5</v>
      </c>
      <c r="F14" s="55">
        <f>Целевые!H605</f>
        <v>0.95513792058199454</v>
      </c>
    </row>
    <row r="15" spans="2:15">
      <c r="B15" s="62" t="s">
        <v>222</v>
      </c>
      <c r="C15" s="68" t="s">
        <v>227</v>
      </c>
      <c r="D15" s="55">
        <f>Целевые!F606</f>
        <v>150.60000000000002</v>
      </c>
      <c r="E15" s="55">
        <f>Целевые!G606</f>
        <v>48.4</v>
      </c>
      <c r="F15" s="55">
        <f>Целевые!H606</f>
        <v>0.32138114209827351</v>
      </c>
    </row>
    <row r="16" spans="2:15" ht="25.5" customHeight="1">
      <c r="B16" s="75" t="s">
        <v>60</v>
      </c>
      <c r="C16" s="51"/>
      <c r="D16" s="52">
        <f>D12+D8</f>
        <v>13410.4</v>
      </c>
      <c r="E16" s="52">
        <f t="shared" ref="E16:F16" si="1">E12+E8</f>
        <v>13109.7</v>
      </c>
      <c r="F16" s="52">
        <f t="shared" si="1"/>
        <v>4.2322398864788955</v>
      </c>
    </row>
    <row r="17" spans="2:8">
      <c r="B17" s="7"/>
    </row>
    <row r="18" spans="2:8">
      <c r="B18" s="27" t="s">
        <v>636</v>
      </c>
      <c r="C18" s="28"/>
      <c r="D18" s="28"/>
      <c r="E18" s="28"/>
      <c r="F18" s="28"/>
      <c r="G18" s="28"/>
      <c r="H18" s="28"/>
    </row>
    <row r="19" spans="2:8">
      <c r="B19" s="27"/>
      <c r="C19" s="28"/>
      <c r="D19" s="28"/>
      <c r="E19" s="28"/>
      <c r="F19" s="28"/>
      <c r="G19" s="28"/>
    </row>
    <row r="20" spans="2:8" ht="12.75" customHeight="1">
      <c r="B20" s="27" t="s">
        <v>578</v>
      </c>
      <c r="C20" s="28"/>
      <c r="D20" s="28"/>
      <c r="E20" s="28"/>
      <c r="F20" s="28"/>
      <c r="G20" s="28"/>
      <c r="H20" s="28"/>
    </row>
    <row r="21" spans="2:8" ht="12.75" customHeight="1">
      <c r="B21" s="27"/>
      <c r="C21" s="28"/>
      <c r="D21" s="28"/>
      <c r="E21" s="28"/>
      <c r="F21" s="28"/>
      <c r="G21" s="28"/>
      <c r="H21" s="28"/>
    </row>
    <row r="22" spans="2:8">
      <c r="B22" s="27" t="s">
        <v>418</v>
      </c>
    </row>
  </sheetData>
  <mergeCells count="8">
    <mergeCell ref="C2:F2"/>
    <mergeCell ref="H5:L5"/>
    <mergeCell ref="C5:C6"/>
    <mergeCell ref="B5:B6"/>
    <mergeCell ref="B3:F3"/>
    <mergeCell ref="D5:D6"/>
    <mergeCell ref="E5:E6"/>
    <mergeCell ref="F5:F6"/>
  </mergeCells>
  <phoneticPr fontId="1" type="noConversion"/>
  <pageMargins left="0.62992125984251968" right="0.23622047244094491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view="pageBreakPreview" topLeftCell="A29" zoomScaleSheetLayoutView="100" workbookViewId="0">
      <selection activeCell="F32" sqref="F32"/>
    </sheetView>
  </sheetViews>
  <sheetFormatPr defaultColWidth="9.140625" defaultRowHeight="12.75"/>
  <cols>
    <col min="1" max="1" width="42" style="30" customWidth="1"/>
    <col min="2" max="2" width="10.140625" style="30" customWidth="1"/>
    <col min="3" max="3" width="12.85546875" style="30" customWidth="1"/>
    <col min="4" max="4" width="9.140625" style="30" customWidth="1"/>
    <col min="5" max="7" width="9.7109375" style="30" customWidth="1"/>
    <col min="8" max="16384" width="9.140625" style="30"/>
  </cols>
  <sheetData>
    <row r="1" spans="1:9" s="4" customFormat="1" ht="15.75" customHeight="1">
      <c r="A1" s="1"/>
      <c r="D1" s="257"/>
      <c r="E1" s="257"/>
      <c r="F1" s="257"/>
      <c r="G1" s="257"/>
    </row>
    <row r="2" spans="1:9" s="1" customFormat="1" ht="12.75" customHeight="1">
      <c r="A2" s="73" t="s">
        <v>883</v>
      </c>
      <c r="B2" s="17"/>
      <c r="D2" s="277"/>
      <c r="E2" s="277"/>
      <c r="F2" s="277"/>
      <c r="G2" s="277"/>
      <c r="H2" s="10"/>
      <c r="I2" s="10"/>
    </row>
    <row r="3" spans="1:9" s="1" customFormat="1">
      <c r="B3" s="17"/>
      <c r="C3" s="10"/>
      <c r="D3" s="277"/>
      <c r="E3" s="277"/>
      <c r="F3" s="277"/>
      <c r="G3" s="277"/>
      <c r="H3" s="10"/>
      <c r="I3" s="10"/>
    </row>
    <row r="4" spans="1:9" ht="12" customHeight="1">
      <c r="A4" s="29"/>
      <c r="D4" s="277"/>
      <c r="E4" s="277"/>
      <c r="F4" s="277"/>
      <c r="G4" s="277"/>
    </row>
    <row r="5" spans="1:9">
      <c r="A5" s="278" t="s">
        <v>484</v>
      </c>
      <c r="B5" s="278"/>
      <c r="C5" s="278"/>
      <c r="D5" s="278"/>
      <c r="E5" s="278"/>
      <c r="F5" s="278"/>
      <c r="G5" s="278"/>
    </row>
    <row r="6" spans="1:9" ht="29.25" customHeight="1">
      <c r="A6" s="279" t="s">
        <v>812</v>
      </c>
      <c r="B6" s="279"/>
      <c r="C6" s="279"/>
      <c r="D6" s="279"/>
      <c r="E6" s="279"/>
      <c r="F6" s="279"/>
      <c r="G6" s="279"/>
    </row>
    <row r="7" spans="1:9">
      <c r="A7" s="280" t="s">
        <v>490</v>
      </c>
      <c r="B7" s="280"/>
      <c r="C7" s="280"/>
      <c r="D7" s="280"/>
      <c r="E7" s="280"/>
      <c r="F7" s="280"/>
      <c r="G7" s="280"/>
    </row>
    <row r="8" spans="1:9">
      <c r="A8" s="275" t="s">
        <v>485</v>
      </c>
      <c r="B8" s="269" t="s">
        <v>3</v>
      </c>
      <c r="C8" s="269" t="s">
        <v>4</v>
      </c>
      <c r="D8" s="269" t="s">
        <v>5</v>
      </c>
      <c r="E8" s="269" t="s">
        <v>820</v>
      </c>
      <c r="F8" s="269" t="s">
        <v>489</v>
      </c>
      <c r="G8" s="269" t="s">
        <v>821</v>
      </c>
    </row>
    <row r="9" spans="1:9" ht="25.5" customHeight="1">
      <c r="A9" s="276"/>
      <c r="B9" s="270"/>
      <c r="C9" s="270"/>
      <c r="D9" s="270"/>
      <c r="E9" s="270"/>
      <c r="F9" s="270"/>
      <c r="G9" s="270"/>
    </row>
    <row r="10" spans="1:9">
      <c r="A10" s="20"/>
      <c r="B10" s="271"/>
      <c r="C10" s="271"/>
      <c r="D10" s="271"/>
      <c r="E10" s="271"/>
      <c r="F10" s="271"/>
      <c r="G10" s="271"/>
    </row>
    <row r="11" spans="1:9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</row>
    <row r="12" spans="1:9" ht="14.25" customHeight="1">
      <c r="A12" s="281" t="s">
        <v>486</v>
      </c>
      <c r="B12" s="282"/>
      <c r="C12" s="282"/>
      <c r="D12" s="282"/>
      <c r="E12" s="282"/>
      <c r="F12" s="282"/>
      <c r="G12" s="283"/>
    </row>
    <row r="13" spans="1:9" ht="51" hidden="1">
      <c r="A13" s="14" t="s">
        <v>413</v>
      </c>
      <c r="B13" s="11" t="s">
        <v>41</v>
      </c>
      <c r="C13" s="11" t="s">
        <v>415</v>
      </c>
      <c r="D13" s="143">
        <v>400</v>
      </c>
      <c r="E13" s="140">
        <f>Ведомственная!G271+Ведомственная!G272+Ведомственная!G273+Ведомственная!G275+Ведомственная!G277</f>
        <v>0</v>
      </c>
      <c r="F13" s="140">
        <f>Ведомственная!H271+Ведомственная!H272+Ведомственная!H273+Ведомственная!H275+Ведомственная!H277</f>
        <v>0</v>
      </c>
      <c r="G13" s="140" t="e">
        <f>Ведомственная!I271+Ведомственная!I272+Ведомственная!I273+Ведомственная!I275+Ведомственная!I277</f>
        <v>#DIV/0!</v>
      </c>
    </row>
    <row r="14" spans="1:9" ht="25.5">
      <c r="A14" s="26" t="s">
        <v>731</v>
      </c>
      <c r="B14" s="11" t="s">
        <v>39</v>
      </c>
      <c r="C14" s="11" t="s">
        <v>526</v>
      </c>
      <c r="D14" s="144"/>
      <c r="E14" s="141">
        <f>SUM(E15:E30)</f>
        <v>87331</v>
      </c>
      <c r="F14" s="141">
        <f t="shared" ref="F14:G14" si="0">SUM(F15:F30)</f>
        <v>77854.399999999994</v>
      </c>
      <c r="G14" s="141" t="e">
        <f t="shared" si="0"/>
        <v>#DIV/0!</v>
      </c>
    </row>
    <row r="15" spans="1:9" ht="67.5" customHeight="1">
      <c r="A15" s="272" t="s">
        <v>869</v>
      </c>
      <c r="B15" s="50" t="s">
        <v>39</v>
      </c>
      <c r="C15" s="50" t="s">
        <v>414</v>
      </c>
      <c r="D15" s="145">
        <v>400</v>
      </c>
      <c r="E15" s="142">
        <f>Ведомственная!G207</f>
        <v>0</v>
      </c>
      <c r="F15" s="142">
        <f>Ведомственная!H207</f>
        <v>0</v>
      </c>
      <c r="G15" s="142" t="e">
        <f>Ведомственная!I207</f>
        <v>#DIV/0!</v>
      </c>
    </row>
    <row r="16" spans="1:9" ht="26.25" customHeight="1">
      <c r="A16" s="273"/>
      <c r="B16" s="50" t="s">
        <v>39</v>
      </c>
      <c r="C16" s="146" t="s">
        <v>544</v>
      </c>
      <c r="D16" s="145">
        <v>400</v>
      </c>
      <c r="E16" s="142">
        <f>Ведомственная!G236</f>
        <v>0</v>
      </c>
      <c r="F16" s="142">
        <f>Ведомственная!H236</f>
        <v>0</v>
      </c>
      <c r="G16" s="142" t="e">
        <f>Ведомственная!I236</f>
        <v>#DIV/0!</v>
      </c>
    </row>
    <row r="17" spans="1:7" ht="22.5" customHeight="1">
      <c r="A17" s="274"/>
      <c r="B17" s="50" t="s">
        <v>39</v>
      </c>
      <c r="C17" s="147" t="s">
        <v>526</v>
      </c>
      <c r="D17" s="145">
        <v>400</v>
      </c>
      <c r="E17" s="142">
        <f>Ведомственная!G218</f>
        <v>25208.600000000002</v>
      </c>
      <c r="F17" s="142">
        <f>Ведомственная!H218</f>
        <v>24357</v>
      </c>
      <c r="G17" s="142">
        <f>Ведомственная!I218</f>
        <v>0.96621787802575299</v>
      </c>
    </row>
    <row r="18" spans="1:7" ht="51">
      <c r="A18" s="15" t="s">
        <v>733</v>
      </c>
      <c r="B18" s="50" t="s">
        <v>39</v>
      </c>
      <c r="C18" s="50" t="s">
        <v>653</v>
      </c>
      <c r="D18" s="50" t="s">
        <v>265</v>
      </c>
      <c r="E18" s="142">
        <f>Ведомственная!G223</f>
        <v>0</v>
      </c>
      <c r="F18" s="142">
        <f>Ведомственная!H223</f>
        <v>0</v>
      </c>
      <c r="G18" s="142" t="e">
        <f>Ведомственная!I223</f>
        <v>#DIV/0!</v>
      </c>
    </row>
    <row r="19" spans="1:7" ht="38.25">
      <c r="A19" s="15" t="s">
        <v>734</v>
      </c>
      <c r="B19" s="50" t="s">
        <v>39</v>
      </c>
      <c r="C19" s="50" t="s">
        <v>654</v>
      </c>
      <c r="D19" s="50" t="s">
        <v>265</v>
      </c>
      <c r="E19" s="142">
        <f>Ведомственная!G224</f>
        <v>0</v>
      </c>
      <c r="F19" s="142">
        <f>Ведомственная!H224</f>
        <v>0</v>
      </c>
      <c r="G19" s="142" t="e">
        <f>Ведомственная!I224</f>
        <v>#DIV/0!</v>
      </c>
    </row>
    <row r="20" spans="1:7" ht="38.25">
      <c r="A20" s="15" t="s">
        <v>735</v>
      </c>
      <c r="B20" s="50" t="s">
        <v>39</v>
      </c>
      <c r="C20" s="50" t="s">
        <v>655</v>
      </c>
      <c r="D20" s="50" t="s">
        <v>265</v>
      </c>
      <c r="E20" s="142">
        <f>Ведомственная!G225</f>
        <v>0</v>
      </c>
      <c r="F20" s="142">
        <f>Ведомственная!H225</f>
        <v>0</v>
      </c>
      <c r="G20" s="142" t="e">
        <f>Ведомственная!I225</f>
        <v>#DIV/0!</v>
      </c>
    </row>
    <row r="21" spans="1:7" ht="25.5">
      <c r="A21" s="15" t="s">
        <v>739</v>
      </c>
      <c r="B21" s="50" t="s">
        <v>39</v>
      </c>
      <c r="C21" s="50" t="s">
        <v>660</v>
      </c>
      <c r="D21" s="50" t="s">
        <v>265</v>
      </c>
      <c r="E21" s="142">
        <f>Ведомственная!G226</f>
        <v>0</v>
      </c>
      <c r="F21" s="142">
        <f>Ведомственная!H226</f>
        <v>0</v>
      </c>
      <c r="G21" s="142" t="e">
        <f>Ведомственная!I226</f>
        <v>#DIV/0!</v>
      </c>
    </row>
    <row r="22" spans="1:7" ht="27.75" customHeight="1">
      <c r="A22" s="15" t="s">
        <v>740</v>
      </c>
      <c r="B22" s="50" t="s">
        <v>39</v>
      </c>
      <c r="C22" s="50" t="s">
        <v>661</v>
      </c>
      <c r="D22" s="50" t="s">
        <v>265</v>
      </c>
      <c r="E22" s="142">
        <f>Ведомственная!G227</f>
        <v>0</v>
      </c>
      <c r="F22" s="142">
        <f>Ведомственная!H227</f>
        <v>0</v>
      </c>
      <c r="G22" s="142" t="e">
        <f>Ведомственная!I227</f>
        <v>#DIV/0!</v>
      </c>
    </row>
    <row r="23" spans="1:7" ht="38.25">
      <c r="A23" s="15" t="s">
        <v>741</v>
      </c>
      <c r="B23" s="50" t="s">
        <v>39</v>
      </c>
      <c r="C23" s="50" t="s">
        <v>662</v>
      </c>
      <c r="D23" s="50" t="s">
        <v>265</v>
      </c>
      <c r="E23" s="142">
        <f>Ведомственная!G228</f>
        <v>0</v>
      </c>
      <c r="F23" s="142">
        <f>Ведомственная!H228</f>
        <v>0</v>
      </c>
      <c r="G23" s="142" t="e">
        <f>Ведомственная!I228</f>
        <v>#DIV/0!</v>
      </c>
    </row>
    <row r="24" spans="1:7" ht="38.25">
      <c r="A24" s="15" t="s">
        <v>804</v>
      </c>
      <c r="B24" s="50" t="s">
        <v>43</v>
      </c>
      <c r="C24" s="50" t="s">
        <v>657</v>
      </c>
      <c r="D24" s="50" t="s">
        <v>265</v>
      </c>
      <c r="E24" s="142">
        <f>Ведомственная!G291</f>
        <v>0</v>
      </c>
      <c r="F24" s="142">
        <f>Ведомственная!H291</f>
        <v>0</v>
      </c>
      <c r="G24" s="142" t="e">
        <f>Ведомственная!I291</f>
        <v>#DIV/0!</v>
      </c>
    </row>
    <row r="25" spans="1:7" ht="51">
      <c r="A25" s="15" t="s">
        <v>811</v>
      </c>
      <c r="B25" s="50" t="s">
        <v>43</v>
      </c>
      <c r="C25" s="50" t="s">
        <v>659</v>
      </c>
      <c r="D25" s="50" t="s">
        <v>265</v>
      </c>
      <c r="E25" s="142">
        <f>Ведомственная!G355</f>
        <v>0</v>
      </c>
      <c r="F25" s="142">
        <f>Ведомственная!H292</f>
        <v>0</v>
      </c>
      <c r="G25" s="142" t="e">
        <f>Ведомственная!I292</f>
        <v>#DIV/0!</v>
      </c>
    </row>
    <row r="26" spans="1:7" ht="51">
      <c r="A26" s="15" t="s">
        <v>811</v>
      </c>
      <c r="B26" s="50" t="s">
        <v>324</v>
      </c>
      <c r="C26" s="50" t="s">
        <v>831</v>
      </c>
      <c r="D26" s="50" t="s">
        <v>265</v>
      </c>
      <c r="E26" s="142">
        <f>Ведомственная!G358+Ведомственная!G359+Ведомственная!G360+Ведомственная!G361</f>
        <v>58784.200000000004</v>
      </c>
      <c r="F26" s="142">
        <f>Ведомственная!H357</f>
        <v>50757</v>
      </c>
      <c r="G26" s="142">
        <f>Ведомственная!I357</f>
        <v>0.86066449396515754</v>
      </c>
    </row>
    <row r="27" spans="1:7" ht="29.25" customHeight="1">
      <c r="A27" s="15" t="s">
        <v>743</v>
      </c>
      <c r="B27" s="50" t="s">
        <v>47</v>
      </c>
      <c r="C27" s="50" t="s">
        <v>664</v>
      </c>
      <c r="D27" s="50" t="s">
        <v>265</v>
      </c>
      <c r="E27" s="142">
        <f>Ведомственная!G330</f>
        <v>0</v>
      </c>
      <c r="F27" s="142">
        <f>Ведомственная!H330</f>
        <v>0</v>
      </c>
      <c r="G27" s="142" t="e">
        <f>Ведомственная!I330</f>
        <v>#DIV/0!</v>
      </c>
    </row>
    <row r="28" spans="1:7" ht="40.5" customHeight="1">
      <c r="A28" s="15" t="s">
        <v>737</v>
      </c>
      <c r="B28" s="50" t="s">
        <v>204</v>
      </c>
      <c r="C28" s="50" t="s">
        <v>658</v>
      </c>
      <c r="D28" s="50" t="s">
        <v>265</v>
      </c>
      <c r="E28" s="142">
        <f>Ведомственная!G297</f>
        <v>0</v>
      </c>
      <c r="F28" s="142">
        <f>Ведомственная!H297</f>
        <v>0</v>
      </c>
      <c r="G28" s="142" t="e">
        <f>Ведомственная!I297</f>
        <v>#DIV/0!</v>
      </c>
    </row>
    <row r="29" spans="1:7" s="156" customFormat="1" ht="118.5" customHeight="1">
      <c r="A29" s="153" t="s">
        <v>833</v>
      </c>
      <c r="B29" s="50" t="s">
        <v>204</v>
      </c>
      <c r="C29" s="50" t="s">
        <v>834</v>
      </c>
      <c r="D29" s="50" t="s">
        <v>265</v>
      </c>
      <c r="E29" s="155">
        <f>Ведомственная!G298</f>
        <v>3338.2</v>
      </c>
      <c r="F29" s="155">
        <f>Ведомственная!H298</f>
        <v>2740.4</v>
      </c>
      <c r="G29" s="155">
        <f>Ведомственная!I298</f>
        <v>0.82092145467617283</v>
      </c>
    </row>
    <row r="30" spans="1:7" ht="43.5" customHeight="1">
      <c r="A30" s="15" t="s">
        <v>742</v>
      </c>
      <c r="B30" s="50" t="s">
        <v>204</v>
      </c>
      <c r="C30" s="50" t="s">
        <v>663</v>
      </c>
      <c r="D30" s="50" t="s">
        <v>265</v>
      </c>
      <c r="E30" s="142">
        <f>Ведомственная!G299</f>
        <v>0</v>
      </c>
      <c r="F30" s="142">
        <f>Ведомственная!H299</f>
        <v>0</v>
      </c>
      <c r="G30" s="142" t="e">
        <f>Ведомственная!I299</f>
        <v>#DIV/0!</v>
      </c>
    </row>
    <row r="31" spans="1:7" ht="54" customHeight="1">
      <c r="A31" s="15" t="s">
        <v>923</v>
      </c>
      <c r="B31" s="159" t="s">
        <v>39</v>
      </c>
      <c r="C31" s="159" t="s">
        <v>621</v>
      </c>
      <c r="D31" s="159" t="s">
        <v>265</v>
      </c>
      <c r="E31" s="140">
        <f>Ведомственная!G195</f>
        <v>1</v>
      </c>
      <c r="F31" s="140">
        <f>Ведомственная!H195</f>
        <v>0</v>
      </c>
      <c r="G31" s="140">
        <f>Ведомственная!I195</f>
        <v>0</v>
      </c>
    </row>
    <row r="32" spans="1:7" ht="54" customHeight="1">
      <c r="A32" s="15" t="s">
        <v>923</v>
      </c>
      <c r="B32" s="198" t="s">
        <v>39</v>
      </c>
      <c r="C32" s="11" t="s">
        <v>936</v>
      </c>
      <c r="D32" s="198" t="s">
        <v>265</v>
      </c>
      <c r="E32" s="200">
        <f>Ведомственная!G197+Ведомственная!G196</f>
        <v>65808.800000000003</v>
      </c>
      <c r="F32" s="200">
        <f>Ведомственная!H197+Ведомственная!H196</f>
        <v>65808.800000000003</v>
      </c>
      <c r="G32" s="200">
        <f>Ведомственная!I197+Ведомственная!I196</f>
        <v>2</v>
      </c>
    </row>
    <row r="33" spans="1:7" s="164" customFormat="1" ht="38.25">
      <c r="A33" s="62" t="s">
        <v>810</v>
      </c>
      <c r="B33" s="11" t="s">
        <v>324</v>
      </c>
      <c r="C33" s="11" t="s">
        <v>844</v>
      </c>
      <c r="D33" s="11" t="s">
        <v>265</v>
      </c>
      <c r="E33" s="175">
        <f>Ведомственная!G484+Ведомственная!G485</f>
        <v>0</v>
      </c>
      <c r="F33" s="175">
        <f>Ведомственная!H483</f>
        <v>2084</v>
      </c>
      <c r="G33" s="175">
        <f>Ведомственная!I483</f>
        <v>1</v>
      </c>
    </row>
    <row r="34" spans="1:7">
      <c r="A34" s="162" t="s">
        <v>487</v>
      </c>
      <c r="B34" s="160" t="s">
        <v>488</v>
      </c>
      <c r="C34" s="160" t="s">
        <v>488</v>
      </c>
      <c r="D34" s="160" t="s">
        <v>488</v>
      </c>
      <c r="E34" s="163">
        <f>E31+E14+E13+E33+E32</f>
        <v>153140.79999999999</v>
      </c>
      <c r="F34" s="163">
        <f t="shared" ref="F34:G34" si="1">F31+F14+F13+F33+F32</f>
        <v>145747.20000000001</v>
      </c>
      <c r="G34" s="163" t="e">
        <f t="shared" si="1"/>
        <v>#DIV/0!</v>
      </c>
    </row>
    <row r="35" spans="1:7">
      <c r="A35" s="21"/>
    </row>
    <row r="36" spans="1:7" s="4" customFormat="1">
      <c r="B36" s="9"/>
      <c r="C36" s="5"/>
      <c r="D36" s="8"/>
    </row>
    <row r="38" spans="1:7">
      <c r="A38" s="27" t="s">
        <v>636</v>
      </c>
      <c r="B38" s="28"/>
      <c r="C38" s="28"/>
    </row>
    <row r="40" spans="1:7">
      <c r="A40" s="27" t="s">
        <v>578</v>
      </c>
      <c r="B40" s="28"/>
      <c r="C40" s="28"/>
    </row>
    <row r="41" spans="1:7">
      <c r="A41" s="27"/>
      <c r="B41" s="28"/>
      <c r="C41" s="28"/>
    </row>
    <row r="42" spans="1:7">
      <c r="A42" s="27" t="s">
        <v>418</v>
      </c>
      <c r="B42" s="5"/>
      <c r="C42" s="8"/>
    </row>
    <row r="43" spans="1:7">
      <c r="A43" s="9"/>
      <c r="B43" s="5"/>
      <c r="C43" s="8"/>
    </row>
  </sheetData>
  <mergeCells count="14">
    <mergeCell ref="G8:G10"/>
    <mergeCell ref="A15:A17"/>
    <mergeCell ref="A8:A9"/>
    <mergeCell ref="D2:G4"/>
    <mergeCell ref="D1:G1"/>
    <mergeCell ref="D8:D10"/>
    <mergeCell ref="A5:G5"/>
    <mergeCell ref="A6:G6"/>
    <mergeCell ref="A7:G7"/>
    <mergeCell ref="A12:G12"/>
    <mergeCell ref="B8:B10"/>
    <mergeCell ref="C8:C10"/>
    <mergeCell ref="E8:E10"/>
    <mergeCell ref="F8:F10"/>
  </mergeCells>
  <pageMargins left="0.9055118110236221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Разделы</vt:lpstr>
      <vt:lpstr>Целевые</vt:lpstr>
      <vt:lpstr>Ведомственная</vt:lpstr>
      <vt:lpstr>МЦП</vt:lpstr>
      <vt:lpstr>ВЦП</vt:lpstr>
      <vt:lpstr>стройки</vt:lpstr>
      <vt:lpstr>Ведомственная!Заголовки_для_печати</vt:lpstr>
      <vt:lpstr>Ведомственная!Область_печати</vt:lpstr>
      <vt:lpstr>ВЦП!Область_печати</vt:lpstr>
      <vt:lpstr>МЦП!Область_печати</vt:lpstr>
      <vt:lpstr>Разделы!Область_печати</vt:lpstr>
      <vt:lpstr>стройки!Область_печати</vt:lpstr>
      <vt:lpstr>Целевые!Область_печати</vt:lpstr>
    </vt:vector>
  </TitlesOfParts>
  <Company>КБФПиК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</dc:creator>
  <cp:lastModifiedBy>KAB9A</cp:lastModifiedBy>
  <cp:lastPrinted>2022-02-24T14:03:05Z</cp:lastPrinted>
  <dcterms:created xsi:type="dcterms:W3CDTF">2013-10-10T06:41:22Z</dcterms:created>
  <dcterms:modified xsi:type="dcterms:W3CDTF">2022-03-21T09:47:23Z</dcterms:modified>
</cp:coreProperties>
</file>